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C:\Users\LC\Desktop\"/>
    </mc:Choice>
  </mc:AlternateContent>
  <xr:revisionPtr revIDLastSave="0" documentId="13_ncr:1_{4A9B0DE5-F623-433C-AA3D-BA2FA6129F5A}" xr6:coauthVersionLast="37" xr6:coauthVersionMax="37" xr10:uidLastSave="{00000000-0000-0000-0000-000000000000}"/>
  <bookViews>
    <workbookView xWindow="0" yWindow="0" windowWidth="15480" windowHeight="8190" tabRatio="693" xr2:uid="{00000000-000D-0000-FFFF-FFFF00000000}"/>
  </bookViews>
  <sheets>
    <sheet name="1_CONSUMOS" sheetId="12" r:id="rId1"/>
    <sheet name="2_H.S.P." sheetId="1" r:id="rId2"/>
    <sheet name="3_RENDIMIENTO GLOBAL" sheetId="13" r:id="rId3"/>
    <sheet name="4_CÁLCULO PANELES SOLARES" sheetId="14" r:id="rId4"/>
    <sheet name="5_REGULADOR" sheetId="17" r:id="rId5"/>
    <sheet name="6_BATERÍAS" sheetId="16" r:id="rId6"/>
    <sheet name="7_INVERSOR" sheetId="15" r:id="rId7"/>
    <sheet name="8_CABLES" sheetId="11" r:id="rId8"/>
    <sheet name="9_SOMBRAS" sheetId="18" r:id="rId9"/>
  </sheets>
  <definedNames>
    <definedName name="lista">#REF!</definedName>
    <definedName name="Regulador_Irepsol_VMS_10A_12_24V">#REF!</definedName>
  </definedNames>
  <calcPr calcId="179021" concurrentCalc="0" concurrentManualCount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Q10" i="1" l="1"/>
  <c r="AN19" i="1"/>
  <c r="AN20" i="1"/>
  <c r="AN21" i="1"/>
  <c r="D14" i="1"/>
  <c r="F20" i="1"/>
  <c r="C73" i="18"/>
  <c r="C74" i="18"/>
  <c r="B7" i="15"/>
  <c r="C7" i="15"/>
  <c r="D7" i="15"/>
  <c r="E7" i="15"/>
  <c r="F7" i="15"/>
  <c r="G27" i="12"/>
  <c r="G7" i="15"/>
  <c r="B8" i="15"/>
  <c r="C8" i="15"/>
  <c r="D8" i="15"/>
  <c r="E8" i="15"/>
  <c r="F8" i="15"/>
  <c r="G28" i="12"/>
  <c r="G8" i="15"/>
  <c r="B9" i="15"/>
  <c r="C9" i="15"/>
  <c r="D9" i="15"/>
  <c r="E9" i="15"/>
  <c r="F9" i="15"/>
  <c r="G29" i="12"/>
  <c r="G9" i="15"/>
  <c r="B10" i="15"/>
  <c r="C10" i="15"/>
  <c r="D10" i="15"/>
  <c r="E10" i="15"/>
  <c r="F10" i="15"/>
  <c r="G30" i="12"/>
  <c r="G10" i="15"/>
  <c r="B11" i="15"/>
  <c r="C11" i="15"/>
  <c r="D11" i="15"/>
  <c r="E11" i="15"/>
  <c r="F11" i="15"/>
  <c r="G31" i="12"/>
  <c r="G11" i="15"/>
  <c r="B12" i="15"/>
  <c r="C12" i="15"/>
  <c r="D12" i="15"/>
  <c r="E12" i="15"/>
  <c r="F12" i="15"/>
  <c r="G32" i="12"/>
  <c r="G12" i="15"/>
  <c r="B13" i="15"/>
  <c r="C13" i="15"/>
  <c r="D13" i="15"/>
  <c r="E13" i="15"/>
  <c r="F13" i="15"/>
  <c r="G33" i="12"/>
  <c r="G13" i="15"/>
  <c r="B14" i="15"/>
  <c r="C14" i="15"/>
  <c r="D14" i="15"/>
  <c r="E14" i="15"/>
  <c r="F14" i="15"/>
  <c r="G34" i="12"/>
  <c r="G14" i="15"/>
  <c r="B15" i="15"/>
  <c r="C15" i="15"/>
  <c r="D15" i="15"/>
  <c r="E15" i="15"/>
  <c r="F15" i="15"/>
  <c r="G35" i="12"/>
  <c r="G15" i="15"/>
  <c r="B16" i="15"/>
  <c r="C16" i="15"/>
  <c r="D16" i="15"/>
  <c r="E16" i="15"/>
  <c r="F16" i="15"/>
  <c r="G36" i="12"/>
  <c r="G16" i="15"/>
  <c r="B17" i="15"/>
  <c r="C17" i="15"/>
  <c r="D17" i="15"/>
  <c r="E17" i="15"/>
  <c r="F17" i="15"/>
  <c r="G37" i="12"/>
  <c r="G17" i="15"/>
  <c r="B18" i="15"/>
  <c r="C18" i="15"/>
  <c r="D18" i="15"/>
  <c r="E18" i="15"/>
  <c r="F18" i="15"/>
  <c r="G38" i="12"/>
  <c r="G18" i="15"/>
  <c r="C6" i="15"/>
  <c r="D6" i="15"/>
  <c r="E6" i="15"/>
  <c r="F6" i="15"/>
  <c r="G26" i="12"/>
  <c r="G6" i="15"/>
  <c r="B6" i="15"/>
  <c r="D23" i="15"/>
  <c r="G39" i="12"/>
  <c r="G40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44" i="12"/>
  <c r="V6" i="13"/>
  <c r="D18" i="13"/>
  <c r="V10" i="13"/>
  <c r="D19" i="13"/>
  <c r="V15" i="13"/>
  <c r="D20" i="13"/>
  <c r="V23" i="13"/>
  <c r="D22" i="13"/>
  <c r="V35" i="13"/>
  <c r="D24" i="13"/>
  <c r="V29" i="13"/>
  <c r="D23" i="13"/>
  <c r="V41" i="13"/>
  <c r="D21" i="13"/>
  <c r="F26" i="13"/>
  <c r="G8" i="14"/>
  <c r="AP19" i="1"/>
  <c r="AQ19" i="1"/>
  <c r="CB13" i="1"/>
  <c r="CB11" i="1"/>
  <c r="CB10" i="1"/>
  <c r="AQ15" i="1"/>
  <c r="AQ9" i="1"/>
  <c r="D9" i="14"/>
  <c r="E26" i="14"/>
  <c r="G29" i="14"/>
  <c r="C11" i="11"/>
  <c r="C22" i="11"/>
  <c r="V16" i="13"/>
  <c r="V11" i="13"/>
  <c r="V36" i="13"/>
  <c r="C13" i="11"/>
  <c r="E12" i="11"/>
  <c r="AM13" i="11"/>
  <c r="AM14" i="11"/>
  <c r="AM15" i="11"/>
  <c r="C24" i="11"/>
  <c r="C35" i="11"/>
  <c r="E23" i="1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F22" i="15"/>
  <c r="C33" i="11"/>
  <c r="AG6" i="18"/>
  <c r="AG7" i="18"/>
  <c r="AG8" i="18"/>
  <c r="AG9" i="18"/>
  <c r="AH9" i="18"/>
  <c r="AG10" i="18"/>
  <c r="AH10" i="18"/>
  <c r="AG11" i="18"/>
  <c r="AH11" i="18"/>
  <c r="AG12" i="18"/>
  <c r="AH12" i="18"/>
  <c r="AG13" i="18"/>
  <c r="AH13" i="18"/>
  <c r="AG14" i="18"/>
  <c r="AH14" i="18"/>
  <c r="AG15" i="18"/>
  <c r="AH15" i="18"/>
  <c r="AG16" i="18"/>
  <c r="AH16" i="18"/>
  <c r="AG17" i="18"/>
  <c r="AH17" i="18"/>
  <c r="AG18" i="18"/>
  <c r="AH18" i="18"/>
  <c r="AG19" i="18"/>
  <c r="AH19" i="18"/>
  <c r="AG20" i="18"/>
  <c r="AH20" i="18"/>
  <c r="AG21" i="18"/>
  <c r="AH21" i="18"/>
  <c r="AG22" i="18"/>
  <c r="AH22" i="18"/>
  <c r="AG23" i="18"/>
  <c r="AH23" i="18"/>
  <c r="AG24" i="18"/>
  <c r="AH24" i="18"/>
  <c r="AG25" i="18"/>
  <c r="AH25" i="18"/>
  <c r="AG26" i="18"/>
  <c r="AH26" i="18"/>
  <c r="AG27" i="18"/>
  <c r="AH27" i="18"/>
  <c r="AG28" i="18"/>
  <c r="AH28" i="18"/>
  <c r="AG29" i="18"/>
  <c r="AH29" i="18"/>
  <c r="AG30" i="18"/>
  <c r="AH30" i="18"/>
  <c r="AG31" i="18"/>
  <c r="AH31" i="18"/>
  <c r="AG32" i="18"/>
  <c r="AH32" i="18"/>
  <c r="AG33" i="18"/>
  <c r="AH33" i="18"/>
  <c r="AG34" i="18"/>
  <c r="AH34" i="18"/>
  <c r="AG35" i="18"/>
  <c r="AH35" i="18"/>
  <c r="AG36" i="18"/>
  <c r="AH36" i="18"/>
  <c r="AG37" i="18"/>
  <c r="AH37" i="18"/>
  <c r="AG38" i="18"/>
  <c r="AH38" i="18"/>
  <c r="AG39" i="18"/>
  <c r="AH39" i="18"/>
  <c r="AG40" i="18"/>
  <c r="AH40" i="18"/>
  <c r="AG41" i="18"/>
  <c r="AH41" i="18"/>
  <c r="AG42" i="18"/>
  <c r="AH42" i="18"/>
  <c r="AG43" i="18"/>
  <c r="AH43" i="18"/>
  <c r="AG44" i="18"/>
  <c r="AH44" i="18"/>
  <c r="AG45" i="18"/>
  <c r="AH45" i="18"/>
  <c r="AG46" i="18"/>
  <c r="AH46" i="18"/>
  <c r="AG47" i="18"/>
  <c r="AH47" i="18"/>
  <c r="AG48" i="18"/>
  <c r="AH48" i="18"/>
  <c r="AG49" i="18"/>
  <c r="AH49" i="18"/>
  <c r="AG50" i="18"/>
  <c r="AH50" i="18"/>
  <c r="AG51" i="18"/>
  <c r="AH51" i="18"/>
  <c r="AG52" i="18"/>
  <c r="AH52" i="18"/>
  <c r="AG53" i="18"/>
  <c r="AH53" i="18"/>
  <c r="AG54" i="18"/>
  <c r="AH54" i="18"/>
  <c r="AH6" i="18"/>
  <c r="AH7" i="18"/>
  <c r="AH8" i="18"/>
  <c r="AH5" i="18"/>
  <c r="D20" i="15"/>
  <c r="H22" i="15"/>
  <c r="D19" i="15"/>
  <c r="E25" i="14"/>
  <c r="E24" i="14"/>
  <c r="E28" i="14"/>
  <c r="G22" i="14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AP26" i="1"/>
  <c r="AQ4" i="1"/>
  <c r="AO26" i="1"/>
  <c r="AQ26" i="1"/>
  <c r="E27" i="1"/>
  <c r="CB12" i="1"/>
  <c r="AO41" i="1"/>
  <c r="AQ41" i="1"/>
  <c r="AO42" i="1"/>
  <c r="AP27" i="1"/>
  <c r="AQ5" i="1"/>
  <c r="AO27" i="1"/>
  <c r="AQ27" i="1"/>
  <c r="AQ42" i="1"/>
  <c r="AO43" i="1"/>
  <c r="AP28" i="1"/>
  <c r="AQ6" i="1"/>
  <c r="AO28" i="1"/>
  <c r="AQ28" i="1"/>
  <c r="AQ43" i="1"/>
  <c r="AO44" i="1"/>
  <c r="AP29" i="1"/>
  <c r="AQ7" i="1"/>
  <c r="AO29" i="1"/>
  <c r="AQ29" i="1"/>
  <c r="AQ44" i="1"/>
  <c r="AO45" i="1"/>
  <c r="AP30" i="1"/>
  <c r="AQ8" i="1"/>
  <c r="AO30" i="1"/>
  <c r="AQ30" i="1"/>
  <c r="AQ45" i="1"/>
  <c r="AP31" i="1"/>
  <c r="AO31" i="1"/>
  <c r="AQ31" i="1"/>
  <c r="AO46" i="1"/>
  <c r="AQ46" i="1"/>
  <c r="AP32" i="1"/>
  <c r="AO32" i="1"/>
  <c r="AQ32" i="1"/>
  <c r="AO47" i="1"/>
  <c r="AQ47" i="1"/>
  <c r="AP33" i="1"/>
  <c r="AQ11" i="1"/>
  <c r="AO33" i="1"/>
  <c r="AQ33" i="1"/>
  <c r="AO48" i="1"/>
  <c r="AQ48" i="1"/>
  <c r="AP34" i="1"/>
  <c r="AQ12" i="1"/>
  <c r="AO34" i="1"/>
  <c r="AQ34" i="1"/>
  <c r="AO49" i="1"/>
  <c r="AQ49" i="1"/>
  <c r="AP35" i="1"/>
  <c r="AQ13" i="1"/>
  <c r="AO35" i="1"/>
  <c r="AQ35" i="1"/>
  <c r="AO50" i="1"/>
  <c r="AQ50" i="1"/>
  <c r="AP36" i="1"/>
  <c r="AQ14" i="1"/>
  <c r="AO36" i="1"/>
  <c r="AQ36" i="1"/>
  <c r="AO51" i="1"/>
  <c r="AQ51" i="1"/>
  <c r="AP37" i="1"/>
  <c r="AO37" i="1"/>
  <c r="AQ37" i="1"/>
  <c r="AO52" i="1"/>
  <c r="AQ52" i="1"/>
  <c r="H14" i="1"/>
  <c r="V17" i="13"/>
  <c r="V22" i="13"/>
  <c r="I9" i="17"/>
  <c r="G18" i="17"/>
  <c r="G15" i="17"/>
  <c r="E8" i="17"/>
  <c r="E19" i="17"/>
  <c r="G14" i="17"/>
  <c r="E20" i="16"/>
  <c r="G23" i="16"/>
  <c r="E8" i="16"/>
  <c r="E9" i="16"/>
  <c r="E10" i="16"/>
  <c r="G19" i="16"/>
  <c r="G24" i="16"/>
  <c r="G22" i="16"/>
  <c r="CB9" i="1"/>
  <c r="F17" i="14"/>
  <c r="V39" i="13"/>
  <c r="V40" i="13"/>
  <c r="V42" i="13"/>
  <c r="V33" i="13"/>
  <c r="V34" i="13"/>
  <c r="V37" i="13"/>
  <c r="V38" i="13"/>
  <c r="V19" i="13"/>
  <c r="V7" i="13"/>
  <c r="V8" i="13"/>
  <c r="V9" i="13"/>
  <c r="V12" i="13"/>
  <c r="V13" i="13"/>
  <c r="V14" i="13"/>
  <c r="V18" i="13"/>
  <c r="V20" i="13"/>
  <c r="V21" i="13"/>
  <c r="V24" i="13"/>
  <c r="V25" i="13"/>
  <c r="V26" i="13"/>
  <c r="V27" i="13"/>
  <c r="V28" i="13"/>
  <c r="V30" i="13"/>
  <c r="V31" i="13"/>
  <c r="V32" i="13"/>
  <c r="G43" i="12"/>
  <c r="B37" i="1"/>
  <c r="C37" i="1"/>
  <c r="D37" i="1"/>
  <c r="E37" i="1"/>
  <c r="B38" i="1"/>
  <c r="C38" i="1"/>
  <c r="D38" i="1"/>
  <c r="E38" i="1"/>
  <c r="B27" i="1"/>
  <c r="C27" i="1"/>
  <c r="D27" i="1"/>
  <c r="B28" i="1"/>
  <c r="C28" i="1"/>
  <c r="D28" i="1"/>
  <c r="E28" i="1"/>
  <c r="B29" i="1"/>
  <c r="C29" i="1"/>
  <c r="D29" i="1"/>
  <c r="E29" i="1"/>
  <c r="B30" i="1"/>
  <c r="C30" i="1"/>
  <c r="D30" i="1"/>
  <c r="E30" i="1"/>
  <c r="B31" i="1"/>
  <c r="C31" i="1"/>
  <c r="D31" i="1"/>
  <c r="E31" i="1"/>
  <c r="B32" i="1"/>
  <c r="C32" i="1"/>
  <c r="D32" i="1"/>
  <c r="E32" i="1"/>
  <c r="B33" i="1"/>
  <c r="C33" i="1"/>
  <c r="D33" i="1"/>
  <c r="E33" i="1"/>
  <c r="B34" i="1"/>
  <c r="C34" i="1"/>
  <c r="D34" i="1"/>
  <c r="E34" i="1"/>
  <c r="B35" i="1"/>
  <c r="C35" i="1"/>
  <c r="D35" i="1"/>
  <c r="E35" i="1"/>
  <c r="B36" i="1"/>
  <c r="C36" i="1"/>
  <c r="D36" i="1"/>
  <c r="E36" i="1"/>
  <c r="C26" i="1"/>
  <c r="D26" i="1"/>
  <c r="E26" i="1"/>
  <c r="B26" i="1"/>
  <c r="CB14" i="1"/>
  <c r="E34" i="11"/>
  <c r="AM32" i="11"/>
  <c r="AM33" i="11"/>
  <c r="AM34" i="11"/>
  <c r="AM36" i="11"/>
  <c r="AM37" i="11"/>
  <c r="C37" i="11"/>
  <c r="AM21" i="11"/>
  <c r="AM22" i="11"/>
  <c r="AM23" i="11"/>
  <c r="AM25" i="11"/>
  <c r="AM26" i="11"/>
  <c r="C26" i="11"/>
  <c r="AM17" i="11"/>
  <c r="AM18" i="11"/>
  <c r="C15" i="11"/>
  <c r="C14" i="1"/>
  <c r="AL52" i="1"/>
  <c r="AL51" i="1"/>
  <c r="AL50" i="1"/>
  <c r="AL49" i="1"/>
  <c r="AL48" i="1"/>
  <c r="AL46" i="1"/>
  <c r="AL45" i="1"/>
  <c r="AL44" i="1"/>
  <c r="AL43" i="1"/>
  <c r="AL42" i="1"/>
  <c r="AL47" i="1"/>
  <c r="AL41" i="1"/>
  <c r="BX5" i="1"/>
  <c r="BX6" i="1"/>
  <c r="BX7" i="1"/>
  <c r="BX8" i="1"/>
  <c r="BX9" i="1"/>
  <c r="BX10" i="1"/>
  <c r="BX11" i="1"/>
  <c r="BX12" i="1"/>
  <c r="BX13" i="1"/>
  <c r="BX14" i="1"/>
  <c r="BX15" i="1"/>
  <c r="BX16" i="1"/>
  <c r="BX17" i="1"/>
  <c r="BX18" i="1"/>
  <c r="BX19" i="1"/>
  <c r="BX20" i="1"/>
  <c r="BX21" i="1"/>
  <c r="BX22" i="1"/>
  <c r="BX23" i="1"/>
  <c r="BX24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X205" i="1"/>
  <c r="BX206" i="1"/>
  <c r="BX207" i="1"/>
  <c r="BX208" i="1"/>
  <c r="BX209" i="1"/>
  <c r="BX210" i="1"/>
  <c r="BX211" i="1"/>
  <c r="BX212" i="1"/>
  <c r="BX213" i="1"/>
  <c r="BX214" i="1"/>
  <c r="BX215" i="1"/>
  <c r="BX216" i="1"/>
  <c r="BX217" i="1"/>
  <c r="BX218" i="1"/>
  <c r="BX219" i="1"/>
  <c r="BX220" i="1"/>
  <c r="BX221" i="1"/>
  <c r="BX222" i="1"/>
  <c r="BX223" i="1"/>
  <c r="BX224" i="1"/>
  <c r="BX225" i="1"/>
  <c r="BX226" i="1"/>
  <c r="BX227" i="1"/>
  <c r="BX228" i="1"/>
  <c r="BX229" i="1"/>
  <c r="BX230" i="1"/>
  <c r="BX231" i="1"/>
  <c r="BX232" i="1"/>
  <c r="BX233" i="1"/>
  <c r="BX234" i="1"/>
  <c r="BX235" i="1"/>
  <c r="BX236" i="1"/>
  <c r="BX237" i="1"/>
  <c r="BX238" i="1"/>
  <c r="BX239" i="1"/>
  <c r="BX240" i="1"/>
  <c r="BX241" i="1"/>
  <c r="BX242" i="1"/>
  <c r="BX243" i="1"/>
  <c r="BX244" i="1"/>
  <c r="BX245" i="1"/>
  <c r="BX246" i="1"/>
  <c r="BX247" i="1"/>
  <c r="BX248" i="1"/>
  <c r="BX249" i="1"/>
  <c r="BX250" i="1"/>
  <c r="BX4" i="1"/>
  <c r="CB15" i="1"/>
  <c r="CB8" i="1"/>
  <c r="CB7" i="1"/>
  <c r="CB6" i="1"/>
  <c r="CB5" i="1"/>
  <c r="CB4" i="1"/>
  <c r="CB3" i="1"/>
  <c r="AQ16" i="1"/>
</calcChain>
</file>

<file path=xl/sharedStrings.xml><?xml version="1.0" encoding="utf-8"?>
<sst xmlns="http://schemas.openxmlformats.org/spreadsheetml/2006/main" count="460" uniqueCount="295">
  <si>
    <t>Energía en megajulios que incide sobre un metro cuadrado de superficie horizontal en un día medio de cada mes. Valor del factor H</t>
  </si>
  <si>
    <t>[MJ/m2]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</si>
  <si>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</si>
  <si>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</si>
  <si>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</si>
  <si>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</si>
  <si>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</si>
  <si>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</si>
  <si>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</si>
  <si>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</si>
  <si>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</si>
  <si>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</si>
  <si>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</si>
  <si>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</si>
  <si>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</si>
  <si>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15 CEUTA</t>
  </si>
  <si>
    <t>Valor de H</t>
  </si>
  <si>
    <t>Incli.</t>
  </si>
  <si>
    <t>a=</t>
  </si>
  <si>
    <t>Latitud</t>
  </si>
  <si>
    <t xml:space="preserve">Latitud </t>
  </si>
  <si>
    <t>Provincia</t>
  </si>
  <si>
    <t>ALAVA</t>
  </si>
  <si>
    <t>ALBACETE</t>
  </si>
  <si>
    <t>ALICANTE</t>
  </si>
  <si>
    <t>ALMERIA</t>
  </si>
  <si>
    <t>ASTURIAS</t>
  </si>
  <si>
    <t>AVILA</t>
  </si>
  <si>
    <t>BADAJOZ</t>
  </si>
  <si>
    <t>BALEARES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</si>
  <si>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</si>
  <si>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</si>
  <si>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</si>
  <si>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</si>
  <si>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</si>
  <si>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</si>
  <si>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</si>
  <si>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</si>
  <si>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</si>
  <si>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</si>
  <si>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</si>
  <si>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</si>
  <si>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</si>
  <si>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</si>
  <si>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Valor de K</t>
  </si>
  <si>
    <t>Inclinacion</t>
  </si>
  <si>
    <t>Valor provincia</t>
  </si>
  <si>
    <t>Valor mes</t>
  </si>
  <si>
    <t>º</t>
  </si>
  <si>
    <t>Columna</t>
  </si>
  <si>
    <t>k</t>
  </si>
  <si>
    <t>H.S.P.</t>
  </si>
  <si>
    <t>BARCELONA</t>
  </si>
  <si>
    <t>BURGOS</t>
  </si>
  <si>
    <t>CACERES</t>
  </si>
  <si>
    <t>CADIZ</t>
  </si>
  <si>
    <t>CANTABRIA</t>
  </si>
  <si>
    <t>CASTELLON</t>
  </si>
  <si>
    <t>CIUDAD REAL</t>
  </si>
  <si>
    <t>CORDOBA</t>
  </si>
  <si>
    <t>LA CORUÑA</t>
  </si>
  <si>
    <t>CUENCA</t>
  </si>
  <si>
    <t>GERONA</t>
  </si>
  <si>
    <t>GRANADA</t>
  </si>
  <si>
    <t>GUADALAJARA</t>
  </si>
  <si>
    <t>GUIPUZCOA</t>
  </si>
  <si>
    <t>HUELVA</t>
  </si>
  <si>
    <t>HUESCA</t>
  </si>
  <si>
    <t>JAEN</t>
  </si>
  <si>
    <t>LEON</t>
  </si>
  <si>
    <t>LERIDA</t>
  </si>
  <si>
    <t>LUGO</t>
  </si>
  <si>
    <t>MADRID</t>
  </si>
  <si>
    <t>MALAGA</t>
  </si>
  <si>
    <t>MELILLA</t>
  </si>
  <si>
    <t>MURCIA</t>
  </si>
  <si>
    <t>NAVARRA</t>
  </si>
  <si>
    <t>ORENSE</t>
  </si>
  <si>
    <t>PALENCIA</t>
  </si>
  <si>
    <t>LAS PALMAS</t>
  </si>
  <si>
    <t>PONTEVEDRA</t>
  </si>
  <si>
    <t>LA RIOJA</t>
  </si>
  <si>
    <t>SALAMANCA</t>
  </si>
  <si>
    <t>SEGOVIA,</t>
  </si>
  <si>
    <t>TENERIFE</t>
  </si>
  <si>
    <t>SEVILLA</t>
  </si>
  <si>
    <t>SORIA</t>
  </si>
  <si>
    <t>TARRAGONA</t>
  </si>
  <si>
    <t>TERUEL</t>
  </si>
  <si>
    <t>TOLEDO</t>
  </si>
  <si>
    <t>VALENCIA</t>
  </si>
  <si>
    <t>VALLADOLID</t>
  </si>
  <si>
    <r>
      <t xml:space="preserve">VIZCAYA </t>
    </r>
    <r>
      <rPr>
        <sz val="10"/>
        <color indexed="17"/>
        <rFont val="Times New Roman"/>
        <family val="1"/>
      </rPr>
      <t>-</t>
    </r>
  </si>
  <si>
    <t>ZAMORA</t>
  </si>
  <si>
    <t>ZARAGOZA</t>
  </si>
  <si>
    <t>H</t>
  </si>
  <si>
    <t>K</t>
  </si>
  <si>
    <t>latitud + inclinacion</t>
  </si>
  <si>
    <t>Rango</t>
  </si>
  <si>
    <t>Media</t>
  </si>
  <si>
    <t>desde</t>
  </si>
  <si>
    <t>Hasta</t>
  </si>
  <si>
    <t>Inicio</t>
  </si>
  <si>
    <t>H.S.P. MEDIA</t>
  </si>
  <si>
    <t>Cuadro A</t>
  </si>
  <si>
    <t>Cuadro B</t>
  </si>
  <si>
    <t>H.S.P. SELECCIONADA</t>
  </si>
  <si>
    <t>HORA SOLAR PICO</t>
  </si>
  <si>
    <t>W</t>
  </si>
  <si>
    <t>Isc</t>
  </si>
  <si>
    <t>V</t>
  </si>
  <si>
    <t>%</t>
  </si>
  <si>
    <t>A</t>
  </si>
  <si>
    <t>Intensidad</t>
  </si>
  <si>
    <t>Ah</t>
  </si>
  <si>
    <t>Tensión</t>
  </si>
  <si>
    <t>Paneles - Regulador</t>
  </si>
  <si>
    <t>Longitud</t>
  </si>
  <si>
    <t>Material</t>
  </si>
  <si>
    <t>cobre</t>
  </si>
  <si>
    <t>% caida tensión</t>
  </si>
  <si>
    <t>Sección</t>
  </si>
  <si>
    <t>mm2</t>
  </si>
  <si>
    <t>Lista secciones normalizadas</t>
  </si>
  <si>
    <t>sec x ct</t>
  </si>
  <si>
    <t>sec x Ima</t>
  </si>
  <si>
    <t>I maxima admisible bajo tubo</t>
  </si>
  <si>
    <t>H.S.P. /Mes</t>
  </si>
  <si>
    <t>HSP</t>
  </si>
  <si>
    <t>HSP corregida</t>
  </si>
  <si>
    <t>H.S.P MES</t>
  </si>
  <si>
    <t>CÁLCULO DE LA ENERGÍA NECESARIA PARA LOS CONSUMOS</t>
  </si>
  <si>
    <t>CONSUMOS EN CORRIENTE CONTINUA DC</t>
  </si>
  <si>
    <t xml:space="preserve">Descripción </t>
  </si>
  <si>
    <t>Número</t>
  </si>
  <si>
    <t>P(W)</t>
  </si>
  <si>
    <t>Nota: Solo rellenar las celdas en blanco</t>
  </si>
  <si>
    <t>Total consumos DC</t>
  </si>
  <si>
    <t>Energía (Wh/semana)</t>
  </si>
  <si>
    <t>Wh/semana</t>
  </si>
  <si>
    <t>Wh/ día</t>
  </si>
  <si>
    <t>Horas / día</t>
  </si>
  <si>
    <t>Días de uso / semana</t>
  </si>
  <si>
    <t>CONSUMO TOTAL</t>
  </si>
  <si>
    <t>Total consumo AC + DC</t>
  </si>
  <si>
    <t>RENDIMIENTO GLOBAL DE LA INSTALACIÓN</t>
  </si>
  <si>
    <t>Kb</t>
  </si>
  <si>
    <t>Acumulados viejos, descargas intensas, temperaturas bajas</t>
  </si>
  <si>
    <t>Ka</t>
  </si>
  <si>
    <t>Baterías de baja autodescarga, sin mantenimiento</t>
  </si>
  <si>
    <t>Baterías estacionarias de energía solar</t>
  </si>
  <si>
    <t>Baterías de alta autodescarga</t>
  </si>
  <si>
    <t>Kc</t>
  </si>
  <si>
    <t>Autodescarga de la batería</t>
  </si>
  <si>
    <t>Pérdidas en el proceso de acumulación</t>
  </si>
  <si>
    <t>Pérdidas por el rendimiento del inversor</t>
  </si>
  <si>
    <t>No hay inversor en la instalación</t>
  </si>
  <si>
    <t xml:space="preserve">Kv: Otras pérdidas no consideradas anteriormente. </t>
  </si>
  <si>
    <t>Kv</t>
  </si>
  <si>
    <t>Otras pérdidas no consideradas</t>
  </si>
  <si>
    <t>Si no se tiene en cuenta pédidas en cableado y equipos</t>
  </si>
  <si>
    <t>Si se ha realizado un estudio detallado de pérdidas en equipos</t>
  </si>
  <si>
    <t>N: Número de días de autonomía para asegurar un servicio sin carga.</t>
  </si>
  <si>
    <t>Kc: Pérdidas por el rendimiento del inversor.</t>
  </si>
  <si>
    <t>Ka: Fracción de energía que se pierde por autodescarga.</t>
  </si>
  <si>
    <t>Kb: Coeficiente de pérdidas por rendimiento en el acumulador.</t>
  </si>
  <si>
    <t>Pd: Profundidad máxima de descarga admisible.</t>
  </si>
  <si>
    <t>Pd</t>
  </si>
  <si>
    <t>Profundidad de descarga máxima admisible</t>
  </si>
  <si>
    <t>Batería descargada hasta el 90%</t>
  </si>
  <si>
    <t>Batería descargada hasta el 80%</t>
  </si>
  <si>
    <t>Batería descargada hasta el 70%</t>
  </si>
  <si>
    <t>Batería descargada hasta el 60%</t>
  </si>
  <si>
    <t>Batería descargada hasta el 50%</t>
  </si>
  <si>
    <t>Batería descargada hasta el 40%</t>
  </si>
  <si>
    <t>Batería descargada hasta el 30%</t>
  </si>
  <si>
    <t>Seleccione el valor de las constantes en la lista desplegable:</t>
  </si>
  <si>
    <t>Acumulados nuevos, sin descargas intensas</t>
  </si>
  <si>
    <t>Ka=</t>
  </si>
  <si>
    <t>Kb=</t>
  </si>
  <si>
    <t>Kc=</t>
  </si>
  <si>
    <t>N</t>
  </si>
  <si>
    <t>Número de días de automía</t>
  </si>
  <si>
    <t>Kv=</t>
  </si>
  <si>
    <t>Pd=</t>
  </si>
  <si>
    <t>N=</t>
  </si>
  <si>
    <t>Kr=</t>
  </si>
  <si>
    <t>Vivienda fines de semana</t>
  </si>
  <si>
    <t>Vivienda habitual</t>
  </si>
  <si>
    <t>Instalaciones especiales con servicio prioritario</t>
  </si>
  <si>
    <t>Instalaciones especiales alta fiabilidad</t>
  </si>
  <si>
    <t>Pérdidas en el controlador de carga</t>
  </si>
  <si>
    <t>Controlador de carga eficiente</t>
  </si>
  <si>
    <t>Controlador de carga antiguo, poco eficiente</t>
  </si>
  <si>
    <t>R =</t>
  </si>
  <si>
    <t>Rendimiento inversor 95%</t>
  </si>
  <si>
    <t>Rendimiento inversor 90%</t>
  </si>
  <si>
    <t>Rendimiento inversor 85%</t>
  </si>
  <si>
    <t>Rendimiento inversor &lt; 85%</t>
  </si>
  <si>
    <t>Kr: Pérdidas en el controlador de carga</t>
  </si>
  <si>
    <t>CÁLCULO DEL NÚMERO DE PANELES FOTOVOLTAICOS</t>
  </si>
  <si>
    <t xml:space="preserve">Energía necesaria díaria que tienen que suministrar los paneles = Consumo diario / Rendimiento global </t>
  </si>
  <si>
    <t>Wh/día</t>
  </si>
  <si>
    <t>Hoja de características del módulo fotovoltaico a emplear:</t>
  </si>
  <si>
    <t>Denominación</t>
  </si>
  <si>
    <t>Pmax</t>
  </si>
  <si>
    <t>Vpm</t>
  </si>
  <si>
    <t>Ipm</t>
  </si>
  <si>
    <t>h</t>
  </si>
  <si>
    <t xml:space="preserve">Número de paneles necesarios: </t>
  </si>
  <si>
    <t>Vnom</t>
  </si>
  <si>
    <t>Número de paneles en serie:</t>
  </si>
  <si>
    <t xml:space="preserve">Nota: </t>
  </si>
  <si>
    <t>Energia diaria que produce el panel seleccionado = Ipm * HSP</t>
  </si>
  <si>
    <t>Ah/panel y día</t>
  </si>
  <si>
    <t>% simultaneidad</t>
  </si>
  <si>
    <t>CÁLCULO DEL INVERSOR</t>
  </si>
  <si>
    <t>Potencia simultánea (W)</t>
  </si>
  <si>
    <t>Potencia demandada simultáneamente:</t>
  </si>
  <si>
    <t>Energía diaria a producir por los paneles solares :</t>
  </si>
  <si>
    <t>HSP seleccionada :</t>
  </si>
  <si>
    <t>Seleccionar tensión del sistema  :</t>
  </si>
  <si>
    <t>Energía producida al día por un panel fotovoltaico :</t>
  </si>
  <si>
    <t>Potencia mínima del inversor :</t>
  </si>
  <si>
    <t>Tensión del sistema:</t>
  </si>
  <si>
    <t xml:space="preserve">    Potencia total consumos:</t>
  </si>
  <si>
    <t>Nota: En el momento de seleccionar el inversor hay que asegurarse de que aguanta los picos de arranque de motores y bombas.</t>
  </si>
  <si>
    <t>CÁLCULO DE LA CAPACIDAD DE LA BATERÍA</t>
  </si>
  <si>
    <t>Capacidad de la batería = (Consumo * Días de autonomía) / Profundidad de descarga</t>
  </si>
  <si>
    <t>R = (1-Kb-Kc-Kr-Kv) (1-Ka N/Pd)</t>
  </si>
  <si>
    <t xml:space="preserve">Energía diaria necesaria: </t>
  </si>
  <si>
    <t>Días de autonomía:</t>
  </si>
  <si>
    <t xml:space="preserve">Profundidad de descarga: </t>
  </si>
  <si>
    <t>días</t>
  </si>
  <si>
    <t>Hoja de características de la batería a emplear en la instalación:</t>
  </si>
  <si>
    <t>Capacidad nominal</t>
  </si>
  <si>
    <t>Voltaje nominal</t>
  </si>
  <si>
    <t>Capacidad de acumulación en banco de baterías:</t>
  </si>
  <si>
    <t>Rellenar solamente celdas en color blanco</t>
  </si>
  <si>
    <t xml:space="preserve">Voltaje del banco de baterías: </t>
  </si>
  <si>
    <t>Número de unidades de batería necesarias:</t>
  </si>
  <si>
    <t>Número de unidades de batería conectadas en paralelo:</t>
  </si>
  <si>
    <t>Número de bloques de batería conectadas en serie:</t>
  </si>
  <si>
    <t>CÁLCULO DEL REGULADOR</t>
  </si>
  <si>
    <t>El regulador de carga tiene que funcionar al mismo voltaje del sistema y ademas ser capaz de trabajar con  una intensidad de corriente mínimo un 10% superior a la intensidad máxima de los paneles fotovoltaicos</t>
  </si>
  <si>
    <t xml:space="preserve">Tensión del sistema: </t>
  </si>
  <si>
    <t>Intensidad de corriente máxima de los paneles:</t>
  </si>
  <si>
    <t xml:space="preserve">Hoja de características del regulador seleccionado: </t>
  </si>
  <si>
    <t>Voltaje</t>
  </si>
  <si>
    <t xml:space="preserve">Notas: </t>
  </si>
  <si>
    <t xml:space="preserve">Intensidad mínima del regulador: </t>
  </si>
  <si>
    <t>Voltaje del regulador:</t>
  </si>
  <si>
    <t xml:space="preserve">Video donde se explica cómo utilizar esta hoja excel: </t>
  </si>
  <si>
    <t>Click aquí</t>
  </si>
  <si>
    <t xml:space="preserve">Canal YouTube Luis Carlos: </t>
  </si>
  <si>
    <t xml:space="preserve">Click aquí </t>
  </si>
  <si>
    <t xml:space="preserve">Base de datos de irradiación mundial online: </t>
  </si>
  <si>
    <r>
      <rPr>
        <i/>
        <sz val="11"/>
        <color indexed="8"/>
        <rFont val="Calibri"/>
        <family val="2"/>
      </rPr>
      <t xml:space="preserve">H.S.P. Horas de Sol pico sobre horizontal : </t>
    </r>
    <r>
      <rPr>
        <sz val="11"/>
        <color indexed="8"/>
        <rFont val="Calibri"/>
        <family val="2"/>
      </rPr>
      <t>Para un lugar concreto, es el valor de la energía solar (H) total incicidente sobre una superficie horizontal de 1 m2, expresado en kWh.                                                                                                                                                                            El significado de "Horas de Sol Pico", es equivalente a decir "Horas de sol a una intensidad de 1 kW/m2"</t>
    </r>
  </si>
  <si>
    <t xml:space="preserve">Factores de conversión: </t>
  </si>
  <si>
    <t>1 kWh = 3,6 MJ</t>
  </si>
  <si>
    <t>Autor: Luis Carlos Galán</t>
  </si>
  <si>
    <t>Canal YouTube Luis Carlos:</t>
  </si>
  <si>
    <t>Total consumos AC</t>
  </si>
  <si>
    <t>CONSUMOS EN CORRIENTE ALTERNA AC</t>
  </si>
  <si>
    <t>Número de cadenas en paralelo:</t>
  </si>
  <si>
    <r>
      <t xml:space="preserve">Lista de reproducción </t>
    </r>
    <r>
      <rPr>
        <i/>
        <sz val="11"/>
        <color theme="3"/>
        <rFont val="Calibri"/>
        <family val="2"/>
      </rPr>
      <t>Cálculo Instalación Solar Aislada</t>
    </r>
    <r>
      <rPr>
        <sz val="11"/>
        <color indexed="8"/>
        <rFont val="Calibri"/>
        <family val="2"/>
      </rPr>
      <t>:</t>
    </r>
  </si>
  <si>
    <t xml:space="preserve">Potencia del campo fotovoltaico: </t>
  </si>
  <si>
    <t xml:space="preserve">Intensidad de corriente del campo fotovoltaico: </t>
  </si>
  <si>
    <t>Clíck aquí</t>
  </si>
  <si>
    <t>m</t>
  </si>
  <si>
    <t>Rellenar solo las celdas que están en blanco.</t>
  </si>
  <si>
    <t xml:space="preserve">    Potencia máxima consumidor:</t>
  </si>
  <si>
    <t>CÁLCULO DE LA SECCCIÓN DE LOS CABLES</t>
  </si>
  <si>
    <t>Regulador - Baterías</t>
  </si>
  <si>
    <t>Baterías - Inversor</t>
  </si>
  <si>
    <t>m /Ω mm2</t>
  </si>
  <si>
    <t xml:space="preserve">Para el calculo de la sección de cable, en los distintos tramos de nuestra instalación fotovoltaica, se utiliza la siguiente ecuación:                                                                                   S = (2 * L * I) / (κ * ΔV)    [mm2]                                                                                                                                                                                                                                                                                Donde:  L = longitud del cable, I = intensidad (A), κ  =  conductividad (m/Ω mm2), ΔV = caída de tensión                                                                                                      </t>
  </si>
  <si>
    <t>CÁLCULO DE LAS SOMBRAS</t>
  </si>
  <si>
    <t>SEPARACIÓN ENTRE FILAS DE PANELES</t>
  </si>
  <si>
    <t>La distancia "d" de separación en metros entre filas de paneles o un obstáculo será:</t>
  </si>
  <si>
    <t>Latitud (º) =</t>
  </si>
  <si>
    <t xml:space="preserve">k = </t>
  </si>
  <si>
    <t xml:space="preserve">Datos: </t>
  </si>
  <si>
    <t>Altura del obstáculo o fila de paneles:</t>
  </si>
  <si>
    <t xml:space="preserve">Resultado: </t>
  </si>
  <si>
    <t>d =</t>
  </si>
  <si>
    <t>Efecto de las sombras sobre un panel fotovoltaico:</t>
  </si>
  <si>
    <t>Distancia en metros a colocar el panel respecto del obtáculo = d = k * h</t>
  </si>
  <si>
    <t>Voc</t>
  </si>
  <si>
    <t>Iluminación</t>
  </si>
  <si>
    <t>smartphone</t>
  </si>
  <si>
    <t>Laptop</t>
  </si>
  <si>
    <t>Modulo solar</t>
  </si>
  <si>
    <t>Solar</t>
  </si>
  <si>
    <t>Batería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</si>
</sst>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€_-;\-* #,##0.00\ _€_-;_-* &quot;-&quot;??\ _€_-;_-@_-"/>
    <numFmt numFmtId="164" formatCode="00000"/>
    <numFmt numFmtId="165" formatCode="_-* #,##0.000\ _€_-;\-* #,##0.000\ _€_-;_-* &quot;-&quot;??\ _€_-;_-@_-"/>
    <numFmt numFmtId="166" formatCode="_-* #,##0\ _€_-;\-* #,##0\ _€_-;_-* &quot;-&quot;??\ _€_-;_-@_-"/>
    <numFmt numFmtId="167" formatCode="_-* #,##0.000\ _€_-;\-* #,##0.000\ _€_-;_-* &quot;-&quot;???\ _€_-;_-@_-"/>
    <numFmt numFmtId="168" formatCode="0.0000"/>
  </numFmts>
  <fonts count="41" x14ac:knownFonts="1"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color indexed="17"/>
      <name val="Times New Roman"/>
      <family val="1"/>
    </font>
    <font>
      <sz val="10"/>
      <name val="Symbol"/>
      <family val="1"/>
      <charset val="2"/>
    </font>
    <font>
      <sz val="8"/>
      <name val="Calibri"/>
      <family val="2"/>
    </font>
    <font>
      <sz val="14"/>
      <color indexed="8"/>
      <name val="Calibri"/>
      <family val="2"/>
    </font>
    <font>
      <sz val="20"/>
      <color indexed="8"/>
      <name val="Calibri"/>
      <family val="2"/>
    </font>
    <font>
      <sz val="18"/>
      <color indexed="8"/>
      <name val="Calibri"/>
      <family val="2"/>
    </font>
    <font>
      <b/>
      <sz val="11"/>
      <color indexed="8"/>
      <name val="Calibri"/>
      <family val="2"/>
    </font>
    <font>
      <u/>
      <sz val="11"/>
      <color indexed="12"/>
      <name val="Calibri"/>
      <family val="2"/>
    </font>
    <font>
      <b/>
      <i/>
      <sz val="12"/>
      <color indexed="17"/>
      <name val="Calibri"/>
      <family val="2"/>
    </font>
    <font>
      <b/>
      <i/>
      <sz val="11"/>
      <color indexed="17"/>
      <name val="Calibri"/>
      <family val="2"/>
    </font>
    <font>
      <sz val="11"/>
      <color indexed="57"/>
      <name val="Calibri"/>
      <family val="2"/>
    </font>
    <font>
      <b/>
      <sz val="14"/>
      <color indexed="8"/>
      <name val="Calibri"/>
      <family val="2"/>
    </font>
    <font>
      <b/>
      <sz val="16"/>
      <color indexed="8"/>
      <name val="Calibri"/>
      <family val="2"/>
    </font>
    <font>
      <sz val="11"/>
      <color indexed="8"/>
      <name val="Calibri"/>
      <family val="2"/>
    </font>
    <font>
      <u/>
      <sz val="11"/>
      <color indexed="8"/>
      <name val="Calibri"/>
      <family val="2"/>
    </font>
    <font>
      <sz val="24"/>
      <color indexed="8"/>
      <name val="Calibri"/>
      <family val="2"/>
    </font>
    <font>
      <sz val="11"/>
      <color rgb="FFFF0000"/>
      <name val="Calibri"/>
      <family val="2"/>
    </font>
    <font>
      <b/>
      <sz val="14"/>
      <color theme="3"/>
      <name val="Calibri"/>
      <family val="2"/>
    </font>
    <font>
      <sz val="8"/>
      <color rgb="FF000000"/>
      <name val="Tahoma"/>
      <family val="2"/>
    </font>
    <font>
      <i/>
      <sz val="11"/>
      <color indexed="8"/>
      <name val="Calibri"/>
      <family val="2"/>
    </font>
    <font>
      <i/>
      <sz val="11"/>
      <color theme="3"/>
      <name val="Calibri"/>
      <family val="2"/>
    </font>
    <font>
      <sz val="14"/>
      <color rgb="FFFF000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50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6" tint="0.79998168889431442"/>
        <bgColor indexed="51"/>
      </patternFill>
    </fill>
    <fill>
      <patternFill patternType="solid">
        <fgColor theme="6" tint="0.79998168889431442"/>
        <bgColor indexed="35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6" tint="0.79998168889431442"/>
        <bgColor indexed="6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16" borderId="1" applyNumberFormat="0" applyAlignment="0" applyProtection="0"/>
    <xf numFmtId="0" fontId="4" fillId="17" borderId="2" applyNumberFormat="0" applyAlignment="0" applyProtection="0"/>
    <xf numFmtId="0" fontId="5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7" fillId="7" borderId="1" applyNumberFormat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43" fontId="1" fillId="0" borderId="0" applyFill="0" applyBorder="0" applyAlignment="0" applyProtection="0"/>
    <xf numFmtId="0" fontId="9" fillId="22" borderId="0" applyNumberFormat="0" applyBorder="0" applyAlignment="0" applyProtection="0"/>
    <xf numFmtId="0" fontId="32" fillId="23" borderId="4" applyNumberFormat="0" applyAlignment="0" applyProtection="0"/>
    <xf numFmtId="9" fontId="1" fillId="0" borderId="0" applyFill="0" applyBorder="0" applyAlignment="0" applyProtection="0"/>
    <xf numFmtId="0" fontId="10" fillId="16" borderId="5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6" fillId="0" borderId="7" applyNumberFormat="0" applyFill="0" applyAlignment="0" applyProtection="0"/>
    <xf numFmtId="0" fontId="15" fillId="0" borderId="8" applyNumberFormat="0" applyFill="0" applyAlignment="0" applyProtection="0"/>
  </cellStyleXfs>
  <cellXfs count="291">
    <xf numFmtId="0" fontId="0" fillId="0" borderId="0" xfId="0"/>
    <xf numFmtId="0" fontId="0" fillId="25" borderId="0" xfId="0" applyFill="1" applyProtection="1"/>
    <xf numFmtId="0" fontId="26" fillId="25" borderId="0" xfId="30" applyFill="1" applyAlignment="1" applyProtection="1"/>
    <xf numFmtId="0" fontId="24" fillId="24" borderId="0" xfId="0" applyFont="1" applyFill="1" applyProtection="1"/>
    <xf numFmtId="0" fontId="0" fillId="24" borderId="0" xfId="0" applyFill="1" applyProtection="1"/>
    <xf numFmtId="0" fontId="26" fillId="24" borderId="0" xfId="30" applyFill="1" applyAlignment="1" applyProtection="1"/>
    <xf numFmtId="0" fontId="0" fillId="24" borderId="0" xfId="0" applyFill="1" applyProtection="1">
      <protection locked="0"/>
    </xf>
    <xf numFmtId="0" fontId="24" fillId="25" borderId="0" xfId="0" applyFont="1" applyFill="1" applyProtection="1"/>
    <xf numFmtId="0" fontId="24" fillId="33" borderId="0" xfId="0" applyFont="1" applyFill="1" applyProtection="1"/>
    <xf numFmtId="0" fontId="0" fillId="33" borderId="0" xfId="0" applyFill="1" applyProtection="1"/>
    <xf numFmtId="0" fontId="26" fillId="33" borderId="0" xfId="30" applyFill="1" applyAlignment="1" applyProtection="1"/>
    <xf numFmtId="0" fontId="24" fillId="35" borderId="0" xfId="0" applyFont="1" applyFill="1" applyProtection="1"/>
    <xf numFmtId="0" fontId="0" fillId="35" borderId="0" xfId="0" applyFill="1" applyProtection="1"/>
    <xf numFmtId="0" fontId="26" fillId="35" borderId="0" xfId="30" applyFill="1" applyAlignment="1" applyProtection="1"/>
    <xf numFmtId="0" fontId="24" fillId="36" borderId="0" xfId="0" applyFont="1" applyFill="1" applyProtection="1"/>
    <xf numFmtId="0" fontId="0" fillId="36" borderId="0" xfId="0" applyFill="1" applyProtection="1"/>
    <xf numFmtId="0" fontId="26" fillId="36" borderId="0" xfId="30" applyFill="1" applyAlignment="1" applyProtection="1"/>
    <xf numFmtId="0" fontId="26" fillId="34" borderId="0" xfId="30" applyFill="1" applyAlignment="1" applyProtection="1"/>
    <xf numFmtId="0" fontId="24" fillId="24" borderId="27" xfId="0" applyFont="1" applyFill="1" applyBorder="1" applyAlignment="1" applyProtection="1">
      <alignment horizontal="left"/>
      <protection locked="0"/>
    </xf>
    <xf numFmtId="0" fontId="0" fillId="24" borderId="25" xfId="0" applyFill="1" applyBorder="1" applyProtection="1">
      <protection locked="0"/>
    </xf>
    <xf numFmtId="0" fontId="0" fillId="24" borderId="26" xfId="0" applyFill="1" applyBorder="1" applyProtection="1">
      <protection locked="0"/>
    </xf>
    <xf numFmtId="0" fontId="24" fillId="24" borderId="0" xfId="0" applyFont="1" applyFill="1" applyProtection="1">
      <protection locked="0"/>
    </xf>
    <xf numFmtId="0" fontId="0" fillId="24" borderId="23" xfId="0" applyFill="1" applyBorder="1" applyAlignment="1" applyProtection="1">
      <alignment horizontal="center"/>
      <protection locked="0"/>
    </xf>
    <xf numFmtId="0" fontId="0" fillId="24" borderId="24" xfId="0" applyFill="1" applyBorder="1" applyAlignment="1" applyProtection="1">
      <alignment horizontal="center"/>
      <protection locked="0"/>
    </xf>
    <xf numFmtId="0" fontId="0" fillId="24" borderId="12" xfId="0" applyFill="1" applyBorder="1" applyProtection="1">
      <protection locked="0"/>
    </xf>
    <xf numFmtId="0" fontId="0" fillId="24" borderId="0" xfId="0" applyFill="1" applyBorder="1" applyProtection="1">
      <protection locked="0"/>
    </xf>
    <xf numFmtId="0" fontId="0" fillId="32" borderId="23" xfId="0" applyFill="1" applyBorder="1" applyAlignment="1" applyProtection="1">
      <alignment horizontal="center"/>
      <protection locked="0"/>
    </xf>
    <xf numFmtId="0" fontId="0" fillId="32" borderId="24" xfId="0" applyFill="1" applyBorder="1" applyAlignment="1" applyProtection="1">
      <alignment horizontal="center"/>
      <protection locked="0"/>
    </xf>
    <xf numFmtId="0" fontId="0" fillId="24" borderId="0" xfId="0" applyFont="1" applyFill="1" applyBorder="1" applyProtection="1">
      <protection locked="0"/>
    </xf>
    <xf numFmtId="0" fontId="15" fillId="24" borderId="0" xfId="0" applyFont="1" applyFill="1" applyBorder="1" applyAlignment="1" applyProtection="1">
      <alignment horizontal="right"/>
      <protection locked="0"/>
    </xf>
    <xf numFmtId="2" fontId="15" fillId="24" borderId="0" xfId="0" applyNumberFormat="1" applyFont="1" applyFill="1" applyBorder="1" applyProtection="1">
      <protection locked="0"/>
    </xf>
    <xf numFmtId="0" fontId="15" fillId="24" borderId="0" xfId="0" applyFont="1" applyFill="1" applyBorder="1" applyProtection="1">
      <protection locked="0"/>
    </xf>
    <xf numFmtId="2" fontId="15" fillId="24" borderId="0" xfId="0" applyNumberFormat="1" applyFont="1" applyFill="1" applyProtection="1">
      <protection locked="0"/>
    </xf>
    <xf numFmtId="0" fontId="15" fillId="24" borderId="0" xfId="0" applyFont="1" applyFill="1" applyProtection="1">
      <protection locked="0"/>
    </xf>
    <xf numFmtId="0" fontId="24" fillId="24" borderId="28" xfId="0" applyFont="1" applyFill="1" applyBorder="1" applyProtection="1">
      <protection locked="0"/>
    </xf>
    <xf numFmtId="0" fontId="0" fillId="24" borderId="29" xfId="0" applyFill="1" applyBorder="1" applyProtection="1">
      <protection locked="0"/>
    </xf>
    <xf numFmtId="0" fontId="0" fillId="24" borderId="30" xfId="0" applyFill="1" applyBorder="1" applyProtection="1">
      <protection locked="0"/>
    </xf>
    <xf numFmtId="0" fontId="0" fillId="24" borderId="31" xfId="0" applyFill="1" applyBorder="1" applyProtection="1">
      <protection locked="0"/>
    </xf>
    <xf numFmtId="0" fontId="15" fillId="24" borderId="32" xfId="0" applyFont="1" applyFill="1" applyBorder="1" applyProtection="1">
      <protection locked="0"/>
    </xf>
    <xf numFmtId="0" fontId="0" fillId="24" borderId="33" xfId="0" applyFill="1" applyBorder="1" applyProtection="1">
      <protection locked="0"/>
    </xf>
    <xf numFmtId="0" fontId="0" fillId="24" borderId="34" xfId="0" applyFill="1" applyBorder="1" applyProtection="1">
      <protection locked="0"/>
    </xf>
    <xf numFmtId="0" fontId="0" fillId="24" borderId="35" xfId="0" applyFill="1" applyBorder="1" applyProtection="1">
      <protection locked="0"/>
    </xf>
    <xf numFmtId="0" fontId="0" fillId="24" borderId="12" xfId="0" applyFill="1" applyBorder="1" applyProtection="1"/>
    <xf numFmtId="0" fontId="0" fillId="24" borderId="0" xfId="0" applyFill="1" applyBorder="1" applyProtection="1"/>
    <xf numFmtId="0" fontId="0" fillId="25" borderId="0" xfId="0" applyFill="1" applyProtection="1">
      <protection locked="0"/>
    </xf>
    <xf numFmtId="2" fontId="0" fillId="25" borderId="0" xfId="0" applyNumberFormat="1" applyFill="1" applyProtection="1">
      <protection locked="0"/>
    </xf>
    <xf numFmtId="0" fontId="24" fillId="25" borderId="24" xfId="0" applyFont="1" applyFill="1" applyBorder="1" applyProtection="1">
      <protection locked="0"/>
    </xf>
    <xf numFmtId="0" fontId="0" fillId="25" borderId="36" xfId="0" applyFill="1" applyBorder="1" applyProtection="1">
      <protection locked="0"/>
    </xf>
    <xf numFmtId="164" fontId="17" fillId="26" borderId="17" xfId="0" applyNumberFormat="1" applyFont="1" applyFill="1" applyBorder="1" applyAlignment="1" applyProtection="1">
      <alignment horizontal="center" vertical="center" wrapText="1"/>
      <protection locked="0"/>
    </xf>
    <xf numFmtId="164" fontId="17" fillId="26" borderId="18" xfId="0" applyNumberFormat="1" applyFont="1" applyFill="1" applyBorder="1" applyAlignment="1" applyProtection="1">
      <alignment horizontal="center" vertical="center" wrapText="1"/>
      <protection locked="0"/>
    </xf>
    <xf numFmtId="164" fontId="17" fillId="25" borderId="0" xfId="0" applyNumberFormat="1" applyFont="1" applyFill="1" applyBorder="1" applyAlignment="1" applyProtection="1">
      <alignment horizontal="left" vertical="center" wrapText="1"/>
      <protection locked="0"/>
    </xf>
    <xf numFmtId="0" fontId="16" fillId="25" borderId="19" xfId="0" applyFont="1" applyFill="1" applyBorder="1" applyAlignment="1" applyProtection="1">
      <alignment horizontal="center" vertical="center" wrapText="1"/>
      <protection locked="0"/>
    </xf>
    <xf numFmtId="0" fontId="16" fillId="25" borderId="20" xfId="0" applyFont="1" applyFill="1" applyBorder="1" applyAlignment="1" applyProtection="1">
      <alignment horizontal="center" vertical="center" wrapText="1"/>
      <protection locked="0"/>
    </xf>
    <xf numFmtId="0" fontId="16" fillId="25" borderId="21" xfId="0" applyFont="1" applyFill="1" applyBorder="1" applyAlignment="1" applyProtection="1">
      <alignment horizontal="center" vertical="center" wrapText="1"/>
      <protection locked="0"/>
    </xf>
    <xf numFmtId="0" fontId="16" fillId="25" borderId="0" xfId="0" applyFont="1" applyFill="1" applyBorder="1" applyAlignment="1" applyProtection="1">
      <alignment horizontal="center" vertical="center" wrapText="1"/>
      <protection locked="0"/>
    </xf>
    <xf numFmtId="0" fontId="18" fillId="26" borderId="22" xfId="0" applyFont="1" applyFill="1" applyBorder="1" applyAlignment="1" applyProtection="1">
      <alignment horizontal="center" vertical="center"/>
      <protection locked="0"/>
    </xf>
    <xf numFmtId="0" fontId="18" fillId="26" borderId="22" xfId="0" applyFont="1" applyFill="1" applyBorder="1" applyAlignment="1" applyProtection="1">
      <alignment horizontal="center" vertical="center" wrapText="1"/>
      <protection locked="0"/>
    </xf>
    <xf numFmtId="0" fontId="18" fillId="26" borderId="18" xfId="0" applyFont="1" applyFill="1" applyBorder="1" applyAlignment="1" applyProtection="1">
      <alignment horizontal="center" vertical="center" wrapText="1"/>
      <protection locked="0"/>
    </xf>
    <xf numFmtId="0" fontId="20" fillId="26" borderId="22" xfId="0" applyFont="1" applyFill="1" applyBorder="1" applyAlignment="1" applyProtection="1">
      <alignment horizontal="center" vertical="center"/>
      <protection locked="0"/>
    </xf>
    <xf numFmtId="49" fontId="28" fillId="25" borderId="0" xfId="0" applyNumberFormat="1" applyFont="1" applyFill="1" applyAlignment="1" applyProtection="1">
      <alignment horizontal="center"/>
      <protection locked="0"/>
    </xf>
    <xf numFmtId="0" fontId="18" fillId="25" borderId="22" xfId="0" applyFont="1" applyFill="1" applyBorder="1" applyAlignment="1" applyProtection="1">
      <alignment horizontal="left" vertical="center" wrapText="1"/>
      <protection locked="0"/>
    </xf>
    <xf numFmtId="0" fontId="18" fillId="25" borderId="22" xfId="0" applyFont="1" applyFill="1" applyBorder="1" applyAlignment="1" applyProtection="1">
      <alignment horizontal="center" vertical="center" wrapText="1"/>
      <protection locked="0"/>
    </xf>
    <xf numFmtId="0" fontId="18" fillId="25" borderId="18" xfId="0" applyFont="1" applyFill="1" applyBorder="1" applyAlignment="1" applyProtection="1">
      <alignment horizontal="center" vertical="center" wrapText="1"/>
      <protection locked="0"/>
    </xf>
    <xf numFmtId="0" fontId="18" fillId="25" borderId="21" xfId="0" applyFont="1" applyFill="1" applyBorder="1" applyAlignment="1" applyProtection="1">
      <alignment horizontal="center" vertical="center" wrapText="1"/>
      <protection locked="0"/>
    </xf>
    <xf numFmtId="0" fontId="18" fillId="26" borderId="19" xfId="0" applyFont="1" applyFill="1" applyBorder="1" applyAlignment="1" applyProtection="1">
      <alignment horizontal="center" vertical="center" wrapText="1"/>
      <protection locked="0"/>
    </xf>
    <xf numFmtId="0" fontId="0" fillId="25" borderId="9" xfId="0" applyFill="1" applyBorder="1" applyProtection="1">
      <protection locked="0"/>
    </xf>
    <xf numFmtId="0" fontId="0" fillId="25" borderId="10" xfId="0" applyFill="1" applyBorder="1" applyProtection="1">
      <protection locked="0"/>
    </xf>
    <xf numFmtId="0" fontId="0" fillId="25" borderId="11" xfId="0" applyFill="1" applyBorder="1" applyProtection="1">
      <protection locked="0"/>
    </xf>
    <xf numFmtId="0" fontId="18" fillId="25" borderId="19" xfId="0" applyFont="1" applyFill="1" applyBorder="1" applyAlignment="1" applyProtection="1">
      <alignment horizontal="left" vertical="center" wrapText="1"/>
      <protection locked="0"/>
    </xf>
    <xf numFmtId="0" fontId="18" fillId="25" borderId="19" xfId="0" applyFont="1" applyFill="1" applyBorder="1" applyAlignment="1" applyProtection="1">
      <alignment horizontal="center" vertical="center" wrapText="1"/>
      <protection locked="0"/>
    </xf>
    <xf numFmtId="0" fontId="18" fillId="25" borderId="20" xfId="0" applyFont="1" applyFill="1" applyBorder="1" applyAlignment="1" applyProtection="1">
      <alignment horizontal="center" vertical="center" wrapText="1"/>
      <protection locked="0"/>
    </xf>
    <xf numFmtId="0" fontId="18" fillId="26" borderId="20" xfId="0" applyFont="1" applyFill="1" applyBorder="1" applyAlignment="1" applyProtection="1">
      <alignment horizontal="center" vertical="center" wrapText="1"/>
      <protection locked="0"/>
    </xf>
    <xf numFmtId="49" fontId="27" fillId="25" borderId="0" xfId="0" applyNumberFormat="1" applyFont="1" applyFill="1" applyAlignment="1" applyProtection="1">
      <alignment horizontal="center"/>
      <protection locked="0"/>
    </xf>
    <xf numFmtId="0" fontId="22" fillId="25" borderId="12" xfId="0" applyFont="1" applyFill="1" applyBorder="1" applyProtection="1">
      <protection locked="0"/>
    </xf>
    <xf numFmtId="0" fontId="0" fillId="25" borderId="0" xfId="0" applyFill="1" applyBorder="1" applyProtection="1">
      <protection locked="0"/>
    </xf>
    <xf numFmtId="0" fontId="0" fillId="25" borderId="13" xfId="0" applyFill="1" applyBorder="1" applyProtection="1">
      <protection locked="0"/>
    </xf>
    <xf numFmtId="0" fontId="25" fillId="25" borderId="12" xfId="0" applyFont="1" applyFill="1" applyBorder="1" applyProtection="1">
      <protection locked="0"/>
    </xf>
    <xf numFmtId="0" fontId="0" fillId="25" borderId="12" xfId="0" applyFill="1" applyBorder="1" applyProtection="1">
      <protection locked="0"/>
    </xf>
    <xf numFmtId="0" fontId="18" fillId="25" borderId="0" xfId="0" applyFont="1" applyFill="1" applyBorder="1" applyAlignment="1" applyProtection="1">
      <alignment horizontal="center" vertical="center" wrapText="1"/>
      <protection locked="0"/>
    </xf>
    <xf numFmtId="0" fontId="22" fillId="25" borderId="0" xfId="0" applyFont="1" applyFill="1" applyProtection="1">
      <protection locked="0"/>
    </xf>
    <xf numFmtId="0" fontId="22" fillId="25" borderId="0" xfId="0" applyFont="1" applyFill="1" applyBorder="1" applyProtection="1">
      <protection locked="0"/>
    </xf>
    <xf numFmtId="2" fontId="22" fillId="25" borderId="13" xfId="0" applyNumberFormat="1" applyFont="1" applyFill="1" applyBorder="1" applyProtection="1">
      <protection locked="0"/>
    </xf>
    <xf numFmtId="2" fontId="22" fillId="25" borderId="0" xfId="0" applyNumberFormat="1" applyFont="1" applyFill="1" applyBorder="1" applyProtection="1">
      <protection locked="0"/>
    </xf>
    <xf numFmtId="0" fontId="0" fillId="25" borderId="14" xfId="0" applyFill="1" applyBorder="1" applyProtection="1">
      <protection locked="0"/>
    </xf>
    <xf numFmtId="0" fontId="0" fillId="25" borderId="15" xfId="0" applyFill="1" applyBorder="1" applyProtection="1">
      <protection locked="0"/>
    </xf>
    <xf numFmtId="0" fontId="0" fillId="25" borderId="16" xfId="0" applyFill="1" applyBorder="1" applyProtection="1">
      <protection locked="0"/>
    </xf>
    <xf numFmtId="0" fontId="23" fillId="25" borderId="0" xfId="0" applyFont="1" applyFill="1" applyProtection="1">
      <protection locked="0"/>
    </xf>
    <xf numFmtId="2" fontId="23" fillId="25" borderId="23" xfId="0" applyNumberFormat="1" applyFont="1" applyFill="1" applyBorder="1" applyProtection="1">
      <protection locked="0"/>
    </xf>
    <xf numFmtId="0" fontId="29" fillId="25" borderId="0" xfId="0" applyFont="1" applyFill="1" applyProtection="1">
      <protection locked="0"/>
    </xf>
    <xf numFmtId="0" fontId="0" fillId="25" borderId="0" xfId="0" applyFill="1" applyAlignment="1" applyProtection="1">
      <alignment horizontal="center"/>
      <protection locked="0"/>
    </xf>
    <xf numFmtId="2" fontId="0" fillId="25" borderId="0" xfId="0" applyNumberFormat="1" applyFill="1" applyAlignment="1" applyProtection="1">
      <alignment horizontal="center"/>
      <protection locked="0"/>
    </xf>
    <xf numFmtId="0" fontId="22" fillId="25" borderId="23" xfId="0" applyFont="1" applyFill="1" applyBorder="1" applyAlignment="1" applyProtection="1">
      <alignment horizontal="center"/>
      <protection locked="0"/>
    </xf>
    <xf numFmtId="0" fontId="0" fillId="25" borderId="23" xfId="0" applyFill="1" applyBorder="1" applyAlignment="1" applyProtection="1">
      <alignment horizontal="center"/>
      <protection locked="0"/>
    </xf>
    <xf numFmtId="2" fontId="0" fillId="25" borderId="23" xfId="0" applyNumberFormat="1" applyFill="1" applyBorder="1" applyAlignment="1" applyProtection="1">
      <alignment horizontal="center"/>
      <protection locked="0"/>
    </xf>
    <xf numFmtId="0" fontId="18" fillId="27" borderId="19" xfId="0" applyFont="1" applyFill="1" applyBorder="1" applyAlignment="1" applyProtection="1">
      <alignment horizontal="left" vertical="center" wrapText="1"/>
      <protection locked="0"/>
    </xf>
    <xf numFmtId="0" fontId="18" fillId="27" borderId="20" xfId="0" applyFont="1" applyFill="1" applyBorder="1" applyAlignment="1" applyProtection="1">
      <alignment horizontal="center" vertical="center" wrapText="1"/>
      <protection locked="0"/>
    </xf>
    <xf numFmtId="0" fontId="0" fillId="25" borderId="0" xfId="0" applyFill="1" applyBorder="1" applyAlignment="1" applyProtection="1">
      <alignment horizontal="center"/>
      <protection locked="0"/>
    </xf>
    <xf numFmtId="2" fontId="0" fillId="25" borderId="11" xfId="0" applyNumberFormat="1" applyFill="1" applyBorder="1" applyProtection="1">
      <protection locked="0"/>
    </xf>
    <xf numFmtId="2" fontId="0" fillId="25" borderId="13" xfId="0" applyNumberFormat="1" applyFill="1" applyBorder="1" applyProtection="1">
      <protection locked="0"/>
    </xf>
    <xf numFmtId="2" fontId="0" fillId="25" borderId="16" xfId="0" applyNumberFormat="1" applyFill="1" applyBorder="1" applyProtection="1">
      <protection locked="0"/>
    </xf>
    <xf numFmtId="0" fontId="0" fillId="27" borderId="0" xfId="0" applyFill="1" applyProtection="1">
      <protection locked="0"/>
    </xf>
    <xf numFmtId="0" fontId="0" fillId="28" borderId="0" xfId="0" applyFill="1" applyProtection="1">
      <protection locked="0"/>
    </xf>
    <xf numFmtId="0" fontId="0" fillId="29" borderId="0" xfId="0" applyFill="1" applyProtection="1">
      <protection locked="0"/>
    </xf>
    <xf numFmtId="0" fontId="0" fillId="30" borderId="0" xfId="0" applyFill="1" applyProtection="1">
      <protection locked="0"/>
    </xf>
    <xf numFmtId="0" fontId="0" fillId="31" borderId="0" xfId="0" applyFill="1" applyProtection="1">
      <protection locked="0"/>
    </xf>
    <xf numFmtId="0" fontId="18" fillId="29" borderId="19" xfId="0" applyFont="1" applyFill="1" applyBorder="1" applyAlignment="1" applyProtection="1">
      <alignment horizontal="center" vertical="center" wrapText="1"/>
      <protection locked="0"/>
    </xf>
    <xf numFmtId="0" fontId="18" fillId="29" borderId="22" xfId="0" applyFont="1" applyFill="1" applyBorder="1" applyAlignment="1" applyProtection="1">
      <alignment horizontal="center" vertical="center" wrapText="1"/>
      <protection locked="0"/>
    </xf>
    <xf numFmtId="0" fontId="20" fillId="25" borderId="22" xfId="0" applyFont="1" applyFill="1" applyBorder="1" applyAlignment="1" applyProtection="1">
      <alignment horizontal="center" vertical="center"/>
      <protection locked="0"/>
    </xf>
    <xf numFmtId="0" fontId="18" fillId="26" borderId="0" xfId="0" applyFont="1" applyFill="1" applyBorder="1" applyAlignment="1" applyProtection="1">
      <alignment horizontal="center" vertical="center"/>
      <protection locked="0"/>
    </xf>
    <xf numFmtId="0" fontId="18" fillId="26" borderId="0" xfId="0" applyFont="1" applyFill="1" applyBorder="1" applyAlignment="1" applyProtection="1">
      <alignment horizontal="center" vertical="center" wrapText="1"/>
      <protection locked="0"/>
    </xf>
    <xf numFmtId="0" fontId="20" fillId="26" borderId="0" xfId="0" applyFont="1" applyFill="1" applyBorder="1" applyAlignment="1" applyProtection="1">
      <alignment horizontal="center" vertical="center"/>
      <protection locked="0"/>
    </xf>
    <xf numFmtId="0" fontId="0" fillId="26" borderId="0" xfId="0" applyFont="1" applyFill="1" applyAlignment="1" applyProtection="1">
      <alignment horizontal="center" vertical="center"/>
      <protection locked="0"/>
    </xf>
    <xf numFmtId="0" fontId="18" fillId="26" borderId="0" xfId="0" applyFont="1" applyFill="1" applyAlignment="1" applyProtection="1">
      <alignment horizontal="center" vertical="center"/>
      <protection locked="0"/>
    </xf>
    <xf numFmtId="0" fontId="24" fillId="33" borderId="0" xfId="0" applyFont="1" applyFill="1" applyProtection="1">
      <protection locked="0"/>
    </xf>
    <xf numFmtId="0" fontId="23" fillId="33" borderId="24" xfId="0" applyFont="1" applyFill="1" applyBorder="1" applyProtection="1">
      <protection locked="0"/>
    </xf>
    <xf numFmtId="0" fontId="24" fillId="33" borderId="37" xfId="0" applyFont="1" applyFill="1" applyBorder="1" applyProtection="1">
      <protection locked="0"/>
    </xf>
    <xf numFmtId="0" fontId="0" fillId="33" borderId="37" xfId="0" applyFill="1" applyBorder="1" applyProtection="1">
      <protection locked="0"/>
    </xf>
    <xf numFmtId="0" fontId="24" fillId="33" borderId="36" xfId="0" applyFont="1" applyFill="1" applyBorder="1" applyProtection="1">
      <protection locked="0"/>
    </xf>
    <xf numFmtId="0" fontId="0" fillId="33" borderId="0" xfId="0" applyFill="1" applyBorder="1" applyProtection="1">
      <protection locked="0"/>
    </xf>
    <xf numFmtId="0" fontId="0" fillId="33" borderId="0" xfId="0" applyFill="1" applyProtection="1">
      <protection locked="0"/>
    </xf>
    <xf numFmtId="0" fontId="15" fillId="33" borderId="9" xfId="0" applyFont="1" applyFill="1" applyBorder="1" applyAlignment="1" applyProtection="1">
      <alignment horizontal="center"/>
      <protection locked="0"/>
    </xf>
    <xf numFmtId="0" fontId="15" fillId="33" borderId="10" xfId="0" applyFont="1" applyFill="1" applyBorder="1" applyAlignment="1" applyProtection="1">
      <alignment horizontal="left"/>
      <protection locked="0"/>
    </xf>
    <xf numFmtId="0" fontId="15" fillId="33" borderId="10" xfId="0" applyFont="1" applyFill="1" applyBorder="1" applyAlignment="1" applyProtection="1">
      <alignment horizontal="center"/>
      <protection locked="0"/>
    </xf>
    <xf numFmtId="0" fontId="0" fillId="33" borderId="10" xfId="0" applyFill="1" applyBorder="1" applyAlignment="1" applyProtection="1">
      <alignment horizontal="center"/>
      <protection locked="0"/>
    </xf>
    <xf numFmtId="0" fontId="0" fillId="33" borderId="11" xfId="0" applyFill="1" applyBorder="1" applyAlignment="1" applyProtection="1">
      <alignment horizontal="center"/>
      <protection locked="0"/>
    </xf>
    <xf numFmtId="0" fontId="0" fillId="33" borderId="12" xfId="0" applyFill="1" applyBorder="1" applyAlignment="1" applyProtection="1">
      <alignment horizontal="center"/>
      <protection locked="0"/>
    </xf>
    <xf numFmtId="0" fontId="0" fillId="33" borderId="0" xfId="0" applyFill="1" applyBorder="1" applyAlignment="1" applyProtection="1">
      <alignment horizontal="left"/>
      <protection locked="0"/>
    </xf>
    <xf numFmtId="0" fontId="0" fillId="33" borderId="0" xfId="0" applyFill="1" applyBorder="1" applyAlignment="1" applyProtection="1">
      <alignment horizontal="center"/>
      <protection locked="0"/>
    </xf>
    <xf numFmtId="0" fontId="0" fillId="33" borderId="13" xfId="0" applyFill="1" applyBorder="1" applyAlignment="1" applyProtection="1">
      <alignment horizontal="center"/>
      <protection locked="0"/>
    </xf>
    <xf numFmtId="0" fontId="0" fillId="33" borderId="14" xfId="0" applyFill="1" applyBorder="1" applyAlignment="1" applyProtection="1">
      <alignment horizontal="center"/>
      <protection locked="0"/>
    </xf>
    <xf numFmtId="0" fontId="0" fillId="33" borderId="15" xfId="0" applyFill="1" applyBorder="1" applyAlignment="1" applyProtection="1">
      <alignment horizontal="left"/>
      <protection locked="0"/>
    </xf>
    <xf numFmtId="0" fontId="0" fillId="33" borderId="15" xfId="0" applyFill="1" applyBorder="1" applyAlignment="1" applyProtection="1">
      <alignment horizontal="center"/>
      <protection locked="0"/>
    </xf>
    <xf numFmtId="0" fontId="0" fillId="33" borderId="16" xfId="0" applyFill="1" applyBorder="1" applyAlignment="1" applyProtection="1">
      <alignment horizontal="center"/>
      <protection locked="0"/>
    </xf>
    <xf numFmtId="0" fontId="15" fillId="33" borderId="10" xfId="0" applyFont="1" applyFill="1" applyBorder="1" applyProtection="1">
      <protection locked="0"/>
    </xf>
    <xf numFmtId="0" fontId="0" fillId="33" borderId="11" xfId="0" applyFill="1" applyBorder="1" applyProtection="1">
      <protection locked="0"/>
    </xf>
    <xf numFmtId="0" fontId="0" fillId="33" borderId="13" xfId="0" applyFill="1" applyBorder="1" applyProtection="1">
      <protection locked="0"/>
    </xf>
    <xf numFmtId="0" fontId="0" fillId="33" borderId="9" xfId="0" applyFill="1" applyBorder="1" applyProtection="1">
      <protection locked="0"/>
    </xf>
    <xf numFmtId="0" fontId="0" fillId="33" borderId="10" xfId="0" applyFill="1" applyBorder="1" applyProtection="1">
      <protection locked="0"/>
    </xf>
    <xf numFmtId="0" fontId="0" fillId="33" borderId="12" xfId="0" applyFill="1" applyBorder="1" applyProtection="1">
      <protection locked="0"/>
    </xf>
    <xf numFmtId="0" fontId="0" fillId="32" borderId="12" xfId="0" applyFill="1" applyBorder="1" applyProtection="1">
      <protection locked="0"/>
    </xf>
    <xf numFmtId="0" fontId="0" fillId="33" borderId="0" xfId="0" applyFill="1" applyBorder="1" applyAlignment="1" applyProtection="1">
      <alignment horizontal="right"/>
      <protection locked="0"/>
    </xf>
    <xf numFmtId="165" fontId="1" fillId="33" borderId="0" xfId="32" applyNumberFormat="1" applyFill="1" applyBorder="1" applyAlignment="1" applyProtection="1">
      <alignment horizontal="left"/>
      <protection locked="0"/>
    </xf>
    <xf numFmtId="0" fontId="0" fillId="33" borderId="15" xfId="0" applyFill="1" applyBorder="1" applyProtection="1">
      <protection locked="0"/>
    </xf>
    <xf numFmtId="0" fontId="0" fillId="33" borderId="16" xfId="0" applyFill="1" applyBorder="1" applyProtection="1">
      <protection locked="0"/>
    </xf>
    <xf numFmtId="166" fontId="1" fillId="33" borderId="0" xfId="32" applyNumberFormat="1" applyFill="1" applyBorder="1" applyAlignment="1" applyProtection="1">
      <alignment horizontal="left"/>
      <protection locked="0"/>
    </xf>
    <xf numFmtId="0" fontId="15" fillId="33" borderId="11" xfId="0" applyFont="1" applyFill="1" applyBorder="1" applyProtection="1">
      <protection locked="0"/>
    </xf>
    <xf numFmtId="0" fontId="23" fillId="33" borderId="14" xfId="0" applyFont="1" applyFill="1" applyBorder="1" applyProtection="1">
      <protection locked="0"/>
    </xf>
    <xf numFmtId="0" fontId="23" fillId="33" borderId="15" xfId="0" applyFont="1" applyFill="1" applyBorder="1" applyProtection="1">
      <protection locked="0"/>
    </xf>
    <xf numFmtId="0" fontId="23" fillId="33" borderId="16" xfId="0" applyFont="1" applyFill="1" applyBorder="1" applyProtection="1">
      <protection locked="0"/>
    </xf>
    <xf numFmtId="9" fontId="0" fillId="33" borderId="0" xfId="0" applyNumberFormat="1" applyFill="1" applyBorder="1" applyProtection="1">
      <protection locked="0"/>
    </xf>
    <xf numFmtId="167" fontId="0" fillId="33" borderId="0" xfId="0" applyNumberFormat="1" applyFill="1" applyProtection="1">
      <protection locked="0"/>
    </xf>
    <xf numFmtId="0" fontId="0" fillId="34" borderId="0" xfId="0" applyFill="1" applyProtection="1">
      <protection locked="0"/>
    </xf>
    <xf numFmtId="9" fontId="0" fillId="33" borderId="15" xfId="0" applyNumberFormat="1" applyFill="1" applyBorder="1" applyProtection="1">
      <protection locked="0"/>
    </xf>
    <xf numFmtId="0" fontId="23" fillId="25" borderId="24" xfId="0" applyFont="1" applyFill="1" applyBorder="1" applyProtection="1">
      <protection locked="0"/>
    </xf>
    <xf numFmtId="0" fontId="24" fillId="25" borderId="37" xfId="0" applyFont="1" applyFill="1" applyBorder="1" applyProtection="1">
      <protection locked="0"/>
    </xf>
    <xf numFmtId="0" fontId="0" fillId="25" borderId="37" xfId="0" applyFill="1" applyBorder="1" applyProtection="1">
      <protection locked="0"/>
    </xf>
    <xf numFmtId="0" fontId="23" fillId="25" borderId="37" xfId="0" applyFont="1" applyFill="1" applyBorder="1" applyProtection="1">
      <protection locked="0"/>
    </xf>
    <xf numFmtId="0" fontId="23" fillId="25" borderId="0" xfId="0" applyFont="1" applyFill="1" applyBorder="1" applyProtection="1">
      <protection locked="0"/>
    </xf>
    <xf numFmtId="2" fontId="23" fillId="25" borderId="0" xfId="0" applyNumberFormat="1" applyFont="1" applyFill="1" applyBorder="1" applyProtection="1">
      <protection locked="0"/>
    </xf>
    <xf numFmtId="0" fontId="0" fillId="25" borderId="38" xfId="0" applyFill="1" applyBorder="1" applyAlignment="1" applyProtection="1">
      <alignment horizontal="center"/>
      <protection locked="0"/>
    </xf>
    <xf numFmtId="0" fontId="0" fillId="25" borderId="39" xfId="0" applyFill="1" applyBorder="1" applyAlignment="1" applyProtection="1">
      <alignment horizontal="center"/>
      <protection locked="0"/>
    </xf>
    <xf numFmtId="0" fontId="23" fillId="0" borderId="0" xfId="0" applyFont="1" applyFill="1" applyBorder="1" applyProtection="1">
      <protection locked="0"/>
    </xf>
    <xf numFmtId="0" fontId="0" fillId="25" borderId="40" xfId="0" applyFill="1" applyBorder="1" applyAlignment="1" applyProtection="1">
      <alignment horizontal="center"/>
      <protection locked="0"/>
    </xf>
    <xf numFmtId="0" fontId="0" fillId="0" borderId="40" xfId="0" applyFill="1" applyBorder="1" applyAlignment="1" applyProtection="1">
      <alignment horizontal="center"/>
      <protection locked="0"/>
    </xf>
    <xf numFmtId="0" fontId="0" fillId="0" borderId="23" xfId="0" applyFill="1" applyBorder="1" applyAlignment="1" applyProtection="1">
      <alignment horizontal="center"/>
      <protection locked="0"/>
    </xf>
    <xf numFmtId="0" fontId="35" fillId="25" borderId="0" xfId="0" applyFont="1" applyFill="1" applyProtection="1">
      <protection locked="0"/>
    </xf>
    <xf numFmtId="0" fontId="34" fillId="25" borderId="27" xfId="0" applyFont="1" applyFill="1" applyBorder="1" applyProtection="1">
      <protection locked="0"/>
    </xf>
    <xf numFmtId="0" fontId="34" fillId="25" borderId="25" xfId="0" applyFont="1" applyFill="1" applyBorder="1" applyProtection="1">
      <protection locked="0"/>
    </xf>
    <xf numFmtId="0" fontId="34" fillId="25" borderId="26" xfId="0" applyFont="1" applyFill="1" applyBorder="1" applyProtection="1">
      <protection locked="0"/>
    </xf>
    <xf numFmtId="0" fontId="24" fillId="25" borderId="14" xfId="0" applyFont="1" applyFill="1" applyBorder="1" applyProtection="1">
      <protection locked="0"/>
    </xf>
    <xf numFmtId="0" fontId="24" fillId="25" borderId="15" xfId="0" applyFont="1" applyFill="1" applyBorder="1" applyProtection="1">
      <protection locked="0"/>
    </xf>
    <xf numFmtId="0" fontId="24" fillId="25" borderId="16" xfId="0" applyFont="1" applyFill="1" applyBorder="1" applyProtection="1">
      <protection locked="0"/>
    </xf>
    <xf numFmtId="0" fontId="24" fillId="25" borderId="36" xfId="0" applyFont="1" applyFill="1" applyBorder="1" applyProtection="1">
      <protection locked="0"/>
    </xf>
    <xf numFmtId="0" fontId="23" fillId="35" borderId="0" xfId="0" applyFont="1" applyFill="1" applyBorder="1" applyProtection="1">
      <protection locked="0"/>
    </xf>
    <xf numFmtId="0" fontId="24" fillId="35" borderId="24" xfId="0" applyFont="1" applyFill="1" applyBorder="1" applyProtection="1">
      <protection locked="0"/>
    </xf>
    <xf numFmtId="0" fontId="0" fillId="35" borderId="37" xfId="0" applyFill="1" applyBorder="1" applyProtection="1">
      <protection locked="0"/>
    </xf>
    <xf numFmtId="0" fontId="23" fillId="35" borderId="37" xfId="0" applyFont="1" applyFill="1" applyBorder="1" applyProtection="1">
      <protection locked="0"/>
    </xf>
    <xf numFmtId="0" fontId="0" fillId="35" borderId="36" xfId="0" applyFill="1" applyBorder="1" applyProtection="1">
      <protection locked="0"/>
    </xf>
    <xf numFmtId="0" fontId="0" fillId="35" borderId="0" xfId="0" applyFill="1" applyProtection="1">
      <protection locked="0"/>
    </xf>
    <xf numFmtId="0" fontId="0" fillId="35" borderId="23" xfId="0" applyFill="1" applyBorder="1" applyProtection="1">
      <protection locked="0"/>
    </xf>
    <xf numFmtId="0" fontId="0" fillId="35" borderId="0" xfId="0" applyFont="1" applyFill="1" applyProtection="1">
      <protection locked="0"/>
    </xf>
    <xf numFmtId="0" fontId="0" fillId="35" borderId="23" xfId="0" applyFill="1" applyBorder="1" applyAlignment="1" applyProtection="1">
      <alignment horizontal="center"/>
      <protection locked="0"/>
    </xf>
    <xf numFmtId="0" fontId="35" fillId="35" borderId="0" xfId="0" applyFont="1" applyFill="1" applyProtection="1">
      <protection locked="0"/>
    </xf>
    <xf numFmtId="0" fontId="23" fillId="35" borderId="28" xfId="0" applyFont="1" applyFill="1" applyBorder="1" applyProtection="1">
      <protection locked="0"/>
    </xf>
    <xf numFmtId="0" fontId="23" fillId="35" borderId="29" xfId="0" applyFont="1" applyFill="1" applyBorder="1" applyProtection="1">
      <protection locked="0"/>
    </xf>
    <xf numFmtId="2" fontId="23" fillId="35" borderId="29" xfId="0" applyNumberFormat="1" applyFont="1" applyFill="1" applyBorder="1" applyProtection="1">
      <protection locked="0"/>
    </xf>
    <xf numFmtId="0" fontId="0" fillId="35" borderId="29" xfId="0" applyFill="1" applyBorder="1" applyProtection="1">
      <protection locked="0"/>
    </xf>
    <xf numFmtId="0" fontId="0" fillId="35" borderId="30" xfId="0" applyFill="1" applyBorder="1" applyProtection="1">
      <protection locked="0"/>
    </xf>
    <xf numFmtId="0" fontId="33" fillId="35" borderId="0" xfId="0" applyFont="1" applyFill="1" applyProtection="1">
      <protection locked="0"/>
    </xf>
    <xf numFmtId="0" fontId="23" fillId="35" borderId="33" xfId="0" applyFont="1" applyFill="1" applyBorder="1" applyProtection="1">
      <protection locked="0"/>
    </xf>
    <xf numFmtId="0" fontId="23" fillId="35" borderId="34" xfId="0" applyFont="1" applyFill="1" applyBorder="1" applyProtection="1">
      <protection locked="0"/>
    </xf>
    <xf numFmtId="0" fontId="0" fillId="35" borderId="34" xfId="0" applyFill="1" applyBorder="1" applyProtection="1">
      <protection locked="0"/>
    </xf>
    <xf numFmtId="0" fontId="0" fillId="35" borderId="35" xfId="0" applyFill="1" applyBorder="1" applyProtection="1">
      <protection locked="0"/>
    </xf>
    <xf numFmtId="0" fontId="23" fillId="24" borderId="24" xfId="0" applyFont="1" applyFill="1" applyBorder="1" applyProtection="1">
      <protection locked="0"/>
    </xf>
    <xf numFmtId="0" fontId="24" fillId="24" borderId="37" xfId="0" applyFont="1" applyFill="1" applyBorder="1" applyProtection="1">
      <protection locked="0"/>
    </xf>
    <xf numFmtId="0" fontId="0" fillId="24" borderId="37" xfId="0" applyFill="1" applyBorder="1" applyProtection="1">
      <protection locked="0"/>
    </xf>
    <xf numFmtId="0" fontId="23" fillId="24" borderId="37" xfId="0" applyFont="1" applyFill="1" applyBorder="1" applyProtection="1">
      <protection locked="0"/>
    </xf>
    <xf numFmtId="0" fontId="0" fillId="24" borderId="36" xfId="0" applyFill="1" applyBorder="1" applyProtection="1">
      <protection locked="0"/>
    </xf>
    <xf numFmtId="0" fontId="23" fillId="24" borderId="0" xfId="0" applyFont="1" applyFill="1" applyBorder="1" applyProtection="1">
      <protection locked="0"/>
    </xf>
    <xf numFmtId="2" fontId="23" fillId="24" borderId="0" xfId="0" applyNumberFormat="1" applyFont="1" applyFill="1" applyBorder="1" applyProtection="1">
      <protection locked="0"/>
    </xf>
    <xf numFmtId="0" fontId="0" fillId="24" borderId="0" xfId="0" applyFont="1" applyFill="1" applyProtection="1">
      <protection locked="0"/>
    </xf>
    <xf numFmtId="0" fontId="33" fillId="24" borderId="0" xfId="0" applyFont="1" applyFill="1" applyProtection="1">
      <protection locked="0"/>
    </xf>
    <xf numFmtId="0" fontId="0" fillId="24" borderId="23" xfId="0" applyFill="1" applyBorder="1" applyProtection="1">
      <protection locked="0"/>
    </xf>
    <xf numFmtId="1" fontId="23" fillId="24" borderId="0" xfId="0" applyNumberFormat="1" applyFont="1" applyFill="1" applyBorder="1" applyProtection="1">
      <protection locked="0"/>
    </xf>
    <xf numFmtId="0" fontId="34" fillId="24" borderId="42" xfId="0" applyFont="1" applyFill="1" applyBorder="1" applyProtection="1">
      <protection locked="0"/>
    </xf>
    <xf numFmtId="0" fontId="34" fillId="24" borderId="43" xfId="0" applyFont="1" applyFill="1" applyBorder="1" applyProtection="1">
      <protection locked="0"/>
    </xf>
    <xf numFmtId="0" fontId="23" fillId="24" borderId="44" xfId="0" applyFont="1" applyFill="1" applyBorder="1" applyProtection="1">
      <protection locked="0"/>
    </xf>
    <xf numFmtId="0" fontId="24" fillId="24" borderId="31" xfId="0" applyFont="1" applyFill="1" applyBorder="1" applyProtection="1">
      <protection locked="0"/>
    </xf>
    <xf numFmtId="0" fontId="24" fillId="24" borderId="0" xfId="0" applyFont="1" applyFill="1" applyBorder="1" applyProtection="1">
      <protection locked="0"/>
    </xf>
    <xf numFmtId="0" fontId="23" fillId="24" borderId="32" xfId="0" applyFont="1" applyFill="1" applyBorder="1" applyProtection="1">
      <protection locked="0"/>
    </xf>
    <xf numFmtId="0" fontId="24" fillId="24" borderId="33" xfId="0" applyFont="1" applyFill="1" applyBorder="1" applyProtection="1">
      <protection locked="0"/>
    </xf>
    <xf numFmtId="0" fontId="24" fillId="24" borderId="34" xfId="0" applyFont="1" applyFill="1" applyBorder="1" applyProtection="1">
      <protection locked="0"/>
    </xf>
    <xf numFmtId="0" fontId="23" fillId="24" borderId="35" xfId="0" applyFont="1" applyFill="1" applyBorder="1" applyProtection="1">
      <protection locked="0"/>
    </xf>
    <xf numFmtId="0" fontId="23" fillId="24" borderId="0" xfId="0" applyFont="1" applyFill="1" applyBorder="1" applyProtection="1"/>
    <xf numFmtId="0" fontId="23" fillId="33" borderId="37" xfId="0" applyFont="1" applyFill="1" applyBorder="1" applyProtection="1">
      <protection locked="0"/>
    </xf>
    <xf numFmtId="0" fontId="0" fillId="33" borderId="36" xfId="0" applyFill="1" applyBorder="1" applyProtection="1">
      <protection locked="0"/>
    </xf>
    <xf numFmtId="0" fontId="0" fillId="33" borderId="23" xfId="0" applyFill="1" applyBorder="1" applyAlignment="1" applyProtection="1">
      <alignment horizontal="center"/>
      <protection locked="0"/>
    </xf>
    <xf numFmtId="0" fontId="0" fillId="33" borderId="23" xfId="0" applyFill="1" applyBorder="1" applyAlignment="1" applyProtection="1">
      <alignment horizontal="center" wrapText="1"/>
      <protection locked="0"/>
    </xf>
    <xf numFmtId="9" fontId="1" fillId="0" borderId="23" xfId="35" applyFill="1" applyBorder="1" applyAlignment="1" applyProtection="1">
      <alignment horizontal="center"/>
      <protection locked="0"/>
    </xf>
    <xf numFmtId="0" fontId="30" fillId="33" borderId="0" xfId="0" applyFont="1" applyFill="1" applyProtection="1">
      <protection locked="0"/>
    </xf>
    <xf numFmtId="0" fontId="22" fillId="33" borderId="0" xfId="0" applyFont="1" applyFill="1" applyProtection="1">
      <protection locked="0"/>
    </xf>
    <xf numFmtId="0" fontId="36" fillId="33" borderId="0" xfId="0" applyFont="1" applyFill="1" applyProtection="1">
      <protection locked="0"/>
    </xf>
    <xf numFmtId="15" fontId="36" fillId="33" borderId="0" xfId="0" applyNumberFormat="1" applyFont="1" applyFill="1" applyProtection="1">
      <protection locked="0"/>
    </xf>
    <xf numFmtId="0" fontId="23" fillId="33" borderId="28" xfId="0" applyFont="1" applyFill="1" applyBorder="1" applyProtection="1">
      <protection locked="0"/>
    </xf>
    <xf numFmtId="0" fontId="23" fillId="33" borderId="29" xfId="0" applyFont="1" applyFill="1" applyBorder="1" applyProtection="1">
      <protection locked="0"/>
    </xf>
    <xf numFmtId="1" fontId="23" fillId="33" borderId="29" xfId="0" applyNumberFormat="1" applyFont="1" applyFill="1" applyBorder="1" applyProtection="1">
      <protection locked="0"/>
    </xf>
    <xf numFmtId="0" fontId="23" fillId="33" borderId="33" xfId="0" applyFont="1" applyFill="1" applyBorder="1" applyProtection="1">
      <protection locked="0"/>
    </xf>
    <xf numFmtId="0" fontId="23" fillId="33" borderId="34" xfId="0" applyFont="1" applyFill="1" applyBorder="1" applyProtection="1">
      <protection locked="0"/>
    </xf>
    <xf numFmtId="0" fontId="0" fillId="36" borderId="0" xfId="0" applyFill="1" applyProtection="1">
      <protection locked="0"/>
    </xf>
    <xf numFmtId="0" fontId="23" fillId="36" borderId="0" xfId="0" applyFont="1" applyFill="1" applyBorder="1" applyAlignment="1" applyProtection="1">
      <alignment horizontal="center"/>
      <protection locked="0"/>
    </xf>
    <xf numFmtId="0" fontId="23" fillId="36" borderId="28" xfId="0" applyFont="1" applyFill="1" applyBorder="1" applyProtection="1">
      <protection locked="0"/>
    </xf>
    <xf numFmtId="0" fontId="0" fillId="36" borderId="29" xfId="0" applyFill="1" applyBorder="1" applyProtection="1">
      <protection locked="0"/>
    </xf>
    <xf numFmtId="0" fontId="0" fillId="36" borderId="30" xfId="0" applyFill="1" applyBorder="1" applyProtection="1">
      <protection locked="0"/>
    </xf>
    <xf numFmtId="0" fontId="0" fillId="36" borderId="31" xfId="0" applyFill="1" applyBorder="1" applyProtection="1">
      <protection locked="0"/>
    </xf>
    <xf numFmtId="0" fontId="0" fillId="36" borderId="0" xfId="0" applyFill="1" applyBorder="1" applyProtection="1">
      <protection locked="0"/>
    </xf>
    <xf numFmtId="0" fontId="0" fillId="36" borderId="32" xfId="0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36" borderId="0" xfId="0" applyFill="1" applyBorder="1" applyAlignment="1" applyProtection="1">
      <alignment horizontal="center" vertical="center"/>
      <protection locked="0"/>
    </xf>
    <xf numFmtId="0" fontId="0" fillId="32" borderId="0" xfId="0" applyFill="1" applyBorder="1" applyProtection="1">
      <protection locked="0"/>
    </xf>
    <xf numFmtId="0" fontId="0" fillId="36" borderId="9" xfId="0" applyFill="1" applyBorder="1" applyProtection="1">
      <protection locked="0"/>
    </xf>
    <xf numFmtId="0" fontId="0" fillId="36" borderId="11" xfId="0" applyFill="1" applyBorder="1" applyProtection="1">
      <protection locked="0"/>
    </xf>
    <xf numFmtId="0" fontId="0" fillId="36" borderId="12" xfId="0" applyFill="1" applyBorder="1" applyProtection="1">
      <protection locked="0"/>
    </xf>
    <xf numFmtId="0" fontId="0" fillId="36" borderId="13" xfId="0" applyFill="1" applyBorder="1" applyProtection="1">
      <protection locked="0"/>
    </xf>
    <xf numFmtId="0" fontId="31" fillId="36" borderId="31" xfId="0" applyFont="1" applyFill="1" applyBorder="1" applyProtection="1">
      <protection locked="0"/>
    </xf>
    <xf numFmtId="0" fontId="31" fillId="36" borderId="0" xfId="0" applyFont="1" applyFill="1" applyBorder="1" applyProtection="1">
      <protection locked="0"/>
    </xf>
    <xf numFmtId="0" fontId="0" fillId="36" borderId="14" xfId="0" applyFill="1" applyBorder="1" applyProtection="1">
      <protection locked="0"/>
    </xf>
    <xf numFmtId="0" fontId="31" fillId="36" borderId="16" xfId="0" applyFont="1" applyFill="1" applyBorder="1" applyProtection="1">
      <protection locked="0"/>
    </xf>
    <xf numFmtId="0" fontId="0" fillId="36" borderId="33" xfId="0" applyFill="1" applyBorder="1" applyProtection="1">
      <protection locked="0"/>
    </xf>
    <xf numFmtId="0" fontId="0" fillId="36" borderId="34" xfId="0" applyFill="1" applyBorder="1" applyProtection="1">
      <protection locked="0"/>
    </xf>
    <xf numFmtId="0" fontId="0" fillId="36" borderId="35" xfId="0" applyFill="1" applyBorder="1" applyProtection="1">
      <protection locked="0"/>
    </xf>
    <xf numFmtId="0" fontId="30" fillId="36" borderId="16" xfId="0" applyFont="1" applyFill="1" applyBorder="1" applyProtection="1">
      <protection locked="0"/>
    </xf>
    <xf numFmtId="2" fontId="0" fillId="32" borderId="0" xfId="0" applyNumberFormat="1" applyFill="1" applyBorder="1" applyProtection="1">
      <protection locked="0"/>
    </xf>
    <xf numFmtId="0" fontId="22" fillId="34" borderId="0" xfId="0" applyFont="1" applyFill="1" applyProtection="1">
      <protection locked="0"/>
    </xf>
    <xf numFmtId="0" fontId="24" fillId="34" borderId="9" xfId="0" applyFont="1" applyFill="1" applyBorder="1" applyProtection="1">
      <protection locked="0"/>
    </xf>
    <xf numFmtId="0" fontId="0" fillId="34" borderId="10" xfId="0" applyFill="1" applyBorder="1" applyProtection="1">
      <protection locked="0"/>
    </xf>
    <xf numFmtId="0" fontId="0" fillId="34" borderId="11" xfId="0" applyFill="1" applyBorder="1" applyProtection="1">
      <protection locked="0"/>
    </xf>
    <xf numFmtId="0" fontId="0" fillId="34" borderId="12" xfId="0" applyFill="1" applyBorder="1" applyProtection="1">
      <protection locked="0"/>
    </xf>
    <xf numFmtId="0" fontId="0" fillId="34" borderId="0" xfId="0" applyFill="1" applyBorder="1" applyProtection="1">
      <protection locked="0"/>
    </xf>
    <xf numFmtId="0" fontId="0" fillId="34" borderId="13" xfId="0" applyFill="1" applyBorder="1" applyProtection="1">
      <protection locked="0"/>
    </xf>
    <xf numFmtId="0" fontId="0" fillId="34" borderId="14" xfId="0" applyFill="1" applyBorder="1" applyProtection="1">
      <protection locked="0"/>
    </xf>
    <xf numFmtId="0" fontId="0" fillId="34" borderId="15" xfId="0" applyFill="1" applyBorder="1" applyProtection="1">
      <protection locked="0"/>
    </xf>
    <xf numFmtId="0" fontId="0" fillId="34" borderId="16" xfId="0" applyFill="1" applyBorder="1" applyProtection="1">
      <protection locked="0"/>
    </xf>
    <xf numFmtId="168" fontId="0" fillId="34" borderId="0" xfId="0" applyNumberFormat="1" applyFill="1" applyBorder="1" applyProtection="1">
      <protection locked="0"/>
    </xf>
    <xf numFmtId="2" fontId="0" fillId="34" borderId="15" xfId="0" applyNumberFormat="1" applyFill="1" applyBorder="1" applyProtection="1">
      <protection locked="0"/>
    </xf>
    <xf numFmtId="0" fontId="0" fillId="34" borderId="0" xfId="0" applyFill="1" applyProtection="1"/>
    <xf numFmtId="0" fontId="24" fillId="34" borderId="0" xfId="0" applyFont="1" applyFill="1" applyProtection="1"/>
    <xf numFmtId="0" fontId="16" fillId="26" borderId="41" xfId="0" applyFont="1" applyFill="1" applyBorder="1" applyAlignment="1" applyProtection="1">
      <alignment horizontal="center" vertical="center" wrapText="1"/>
      <protection locked="0"/>
    </xf>
    <xf numFmtId="0" fontId="26" fillId="25" borderId="0" xfId="30" applyFill="1" applyAlignment="1" applyProtection="1">
      <alignment horizontal="center"/>
      <protection locked="0"/>
    </xf>
    <xf numFmtId="0" fontId="0" fillId="25" borderId="0" xfId="0" applyFill="1" applyAlignment="1" applyProtection="1">
      <alignment horizontal="left" vertical="center" wrapText="1"/>
    </xf>
    <xf numFmtId="0" fontId="0" fillId="0" borderId="23" xfId="0" applyFill="1" applyBorder="1" applyAlignment="1" applyProtection="1">
      <alignment horizontal="center"/>
      <protection locked="0"/>
    </xf>
    <xf numFmtId="0" fontId="0" fillId="35" borderId="0" xfId="0" applyFill="1" applyAlignment="1" applyProtection="1">
      <alignment horizontal="left" wrapText="1"/>
      <protection locked="0"/>
    </xf>
    <xf numFmtId="0" fontId="0" fillId="32" borderId="24" xfId="0" applyFill="1" applyBorder="1" applyAlignment="1" applyProtection="1">
      <alignment horizontal="center"/>
      <protection locked="0"/>
    </xf>
    <xf numFmtId="0" fontId="0" fillId="32" borderId="37" xfId="0" applyFill="1" applyBorder="1" applyAlignment="1" applyProtection="1">
      <alignment horizontal="center"/>
      <protection locked="0"/>
    </xf>
    <xf numFmtId="0" fontId="0" fillId="32" borderId="36" xfId="0" applyFill="1" applyBorder="1" applyAlignment="1" applyProtection="1">
      <alignment horizontal="center"/>
      <protection locked="0"/>
    </xf>
    <xf numFmtId="0" fontId="0" fillId="0" borderId="23" xfId="0" applyFont="1" applyFill="1" applyBorder="1" applyAlignment="1" applyProtection="1">
      <alignment horizontal="center"/>
      <protection locked="0"/>
    </xf>
    <xf numFmtId="0" fontId="40" fillId="33" borderId="29" xfId="0" applyFont="1" applyFill="1" applyBorder="1" applyAlignment="1" applyProtection="1">
      <alignment horizontal="center" vertical="center" wrapText="1"/>
      <protection locked="0"/>
    </xf>
    <xf numFmtId="0" fontId="40" fillId="33" borderId="30" xfId="0" applyFont="1" applyFill="1" applyBorder="1" applyAlignment="1" applyProtection="1">
      <alignment horizontal="center" vertical="center" wrapText="1"/>
      <protection locked="0"/>
    </xf>
    <xf numFmtId="0" fontId="40" fillId="33" borderId="34" xfId="0" applyFont="1" applyFill="1" applyBorder="1" applyAlignment="1" applyProtection="1">
      <alignment horizontal="center" vertical="center" wrapText="1"/>
      <protection locked="0"/>
    </xf>
    <xf numFmtId="0" fontId="40" fillId="33" borderId="35" xfId="0" applyFont="1" applyFill="1" applyBorder="1" applyAlignment="1" applyProtection="1">
      <alignment horizontal="center" vertical="center" wrapText="1"/>
      <protection locked="0"/>
    </xf>
    <xf numFmtId="0" fontId="23" fillId="36" borderId="24" xfId="0" applyFont="1" applyFill="1" applyBorder="1" applyAlignment="1" applyProtection="1">
      <alignment horizontal="center"/>
      <protection locked="0"/>
    </xf>
    <xf numFmtId="0" fontId="23" fillId="36" borderId="37" xfId="0" applyFont="1" applyFill="1" applyBorder="1" applyAlignment="1" applyProtection="1">
      <alignment horizontal="center"/>
      <protection locked="0"/>
    </xf>
    <xf numFmtId="0" fontId="23" fillId="36" borderId="36" xfId="0" applyFont="1" applyFill="1" applyBorder="1" applyAlignment="1" applyProtection="1">
      <alignment horizontal="center"/>
      <protection locked="0"/>
    </xf>
    <xf numFmtId="0" fontId="0" fillId="36" borderId="9" xfId="0" applyFill="1" applyBorder="1" applyAlignment="1" applyProtection="1">
      <alignment horizontal="center" vertical="center" wrapText="1"/>
      <protection locked="0"/>
    </xf>
    <xf numFmtId="0" fontId="0" fillId="36" borderId="10" xfId="0" applyFill="1" applyBorder="1" applyAlignment="1" applyProtection="1">
      <alignment horizontal="center" vertical="center" wrapText="1"/>
      <protection locked="0"/>
    </xf>
    <xf numFmtId="0" fontId="0" fillId="36" borderId="11" xfId="0" applyFill="1" applyBorder="1" applyAlignment="1" applyProtection="1">
      <alignment horizontal="center" vertical="center" wrapText="1"/>
      <protection locked="0"/>
    </xf>
    <xf numFmtId="0" fontId="0" fillId="36" borderId="14" xfId="0" applyFill="1" applyBorder="1" applyAlignment="1" applyProtection="1">
      <alignment horizontal="center" vertical="center" wrapText="1"/>
      <protection locked="0"/>
    </xf>
    <xf numFmtId="0" fontId="0" fillId="36" borderId="15" xfId="0" applyFill="1" applyBorder="1" applyAlignment="1" applyProtection="1">
      <alignment horizontal="center" vertical="center" wrapText="1"/>
      <protection locked="0"/>
    </xf>
    <xf numFmtId="0" fontId="0" fillId="36" borderId="16" xfId="0" applyFill="1" applyBorder="1" applyAlignment="1" applyProtection="1">
      <alignment horizontal="center" vertical="center" wrapText="1"/>
      <protection locked="0"/>
    </xf>
    <xf numFmtId="0" fontId="23" fillId="34" borderId="24" xfId="0" applyFont="1" applyFill="1" applyBorder="1" applyAlignment="1" applyProtection="1">
      <alignment horizontal="center"/>
      <protection locked="0"/>
    </xf>
    <xf numFmtId="0" fontId="23" fillId="34" borderId="37" xfId="0" applyFont="1" applyFill="1" applyBorder="1" applyAlignment="1" applyProtection="1">
      <alignment horizontal="center"/>
      <protection locked="0"/>
    </xf>
    <xf numFmtId="0" fontId="23" fillId="34" borderId="36" xfId="0" applyFont="1" applyFill="1" applyBorder="1" applyAlignment="1" applyProtection="1">
      <alignment horizontal="center"/>
      <protection locked="0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Hipervínculo" xfId="30" builtinId="8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DD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HSP</c:v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'2_H.S.P.'!$B$27:$B$38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'2_H.S.P.'!$E$27:$E$38</c:f>
              <c:numCache>
                <c:formatCode>0.00</c:formatCode>
                <c:ptCount val="12"/>
                <c:pt idx="0">
                  <c:v>2.3079624000000001</c:v>
                </c:pt>
                <c:pt idx="1">
                  <c:v>3.4127730000000001</c:v>
                </c:pt>
                <c:pt idx="2">
                  <c:v>4.4586899999999998</c:v>
                </c:pt>
                <c:pt idx="3">
                  <c:v>5.1737471999999993</c:v>
                </c:pt>
                <c:pt idx="4">
                  <c:v>5.2415304000000003</c:v>
                </c:pt>
                <c:pt idx="5">
                  <c:v>5.9965907999999999</c:v>
                </c:pt>
                <c:pt idx="6">
                  <c:v>6.6013614</c:v>
                </c:pt>
                <c:pt idx="7">
                  <c:v>6.2516112000000001</c:v>
                </c:pt>
                <c:pt idx="8">
                  <c:v>5.6926776000000006</c:v>
                </c:pt>
                <c:pt idx="9">
                  <c:v>4.2025584</c:v>
                </c:pt>
                <c:pt idx="10">
                  <c:v>3.0335760000000001</c:v>
                </c:pt>
                <c:pt idx="11">
                  <c:v>2.311296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F-4082-81A4-C19E0CC96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9418191"/>
        <c:axId val="1"/>
      </c:barChart>
      <c:catAx>
        <c:axId val="9594181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Meses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HSP</a:t>
                </a:r>
                <a:r>
                  <a:rPr lang="es-ES" baseline="0"/>
                  <a:t> corregida</a:t>
                </a:r>
                <a:endParaRPr lang="es-ES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941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707494896471274E-2"/>
          <c:y val="9.1158191663986365E-2"/>
          <c:w val="0.91197873850674327"/>
          <c:h val="0.79970928803629893"/>
        </c:manualLayout>
      </c:layout>
      <c:scatterChart>
        <c:scatterStyle val="smoothMarker"/>
        <c:varyColors val="0"/>
        <c:ser>
          <c:idx val="0"/>
          <c:order val="0"/>
          <c:tx>
            <c:v>k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'9_SOMBRAS'!$AG$5:$AG$54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xVal>
          <c:yVal>
            <c:numRef>
              <c:f>'9_SOMBRAS'!$AH$5:$AH$54</c:f>
              <c:numCache>
                <c:formatCode>General</c:formatCode>
                <c:ptCount val="50"/>
                <c:pt idx="0">
                  <c:v>0.44522868530853638</c:v>
                </c:pt>
                <c:pt idx="1">
                  <c:v>0.46630765815499886</c:v>
                </c:pt>
                <c:pt idx="2">
                  <c:v>0.48773258856586166</c:v>
                </c:pt>
                <c:pt idx="3">
                  <c:v>0.50952544949442913</c:v>
                </c:pt>
                <c:pt idx="4">
                  <c:v>0.53170943166147877</c:v>
                </c:pt>
                <c:pt idx="5">
                  <c:v>0.55430905145276899</c:v>
                </c:pt>
                <c:pt idx="6">
                  <c:v>0.57735026918962595</c:v>
                </c:pt>
                <c:pt idx="7">
                  <c:v>0.60086061902756061</c:v>
                </c:pt>
                <c:pt idx="8">
                  <c:v>0.62486935190932769</c:v>
                </c:pt>
                <c:pt idx="9">
                  <c:v>0.64940759319751085</c:v>
                </c:pt>
                <c:pt idx="10">
                  <c:v>0.67450851684242685</c:v>
                </c:pt>
                <c:pt idx="11">
                  <c:v>0.70020753820970993</c:v>
                </c:pt>
                <c:pt idx="12">
                  <c:v>0.72654252800536112</c:v>
                </c:pt>
                <c:pt idx="13">
                  <c:v>0.75355405010279441</c:v>
                </c:pt>
                <c:pt idx="14">
                  <c:v>0.78128562650671751</c:v>
                </c:pt>
                <c:pt idx="15">
                  <c:v>0.80978403319500736</c:v>
                </c:pt>
                <c:pt idx="16">
                  <c:v>0.83909963117728026</c:v>
                </c:pt>
                <c:pt idx="17">
                  <c:v>0.8692867378162269</c:v>
                </c:pt>
                <c:pt idx="18">
                  <c:v>0.90040404429784016</c:v>
                </c:pt>
                <c:pt idx="19">
                  <c:v>0.93251508613766199</c:v>
                </c:pt>
                <c:pt idx="20">
                  <c:v>0.9656887748070746</c:v>
                </c:pt>
                <c:pt idx="21">
                  <c:v>1.0000000000000004</c:v>
                </c:pt>
                <c:pt idx="22">
                  <c:v>1.0355303137905696</c:v>
                </c:pt>
                <c:pt idx="23">
                  <c:v>1.0723687100246828</c:v>
                </c:pt>
                <c:pt idx="24">
                  <c:v>1.1106125148291932</c:v>
                </c:pt>
                <c:pt idx="25">
                  <c:v>1.1503684072210099</c:v>
                </c:pt>
                <c:pt idx="26">
                  <c:v>1.1917535925942104</c:v>
                </c:pt>
                <c:pt idx="27">
                  <c:v>1.2348971565350517</c:v>
                </c:pt>
                <c:pt idx="28">
                  <c:v>1.2799416321930792</c:v>
                </c:pt>
                <c:pt idx="29">
                  <c:v>1.3270448216204103</c:v>
                </c:pt>
                <c:pt idx="30">
                  <c:v>1.376381920471174</c:v>
                </c:pt>
                <c:pt idx="31">
                  <c:v>1.4281480067421151</c:v>
                </c:pt>
                <c:pt idx="32">
                  <c:v>1.4825609685127408</c:v>
                </c:pt>
                <c:pt idx="33">
                  <c:v>1.5398649638145836</c:v>
                </c:pt>
                <c:pt idx="34">
                  <c:v>1.6003345290410507</c:v>
                </c:pt>
                <c:pt idx="35">
                  <c:v>1.6642794823505183</c:v>
                </c:pt>
                <c:pt idx="36">
                  <c:v>1.7320508075688781</c:v>
                </c:pt>
                <c:pt idx="37">
                  <c:v>1.8040477552714245</c:v>
                </c:pt>
                <c:pt idx="38">
                  <c:v>1.8807264653463323</c:v>
                </c:pt>
                <c:pt idx="39">
                  <c:v>1.962610505505151</c:v>
                </c:pt>
                <c:pt idx="40">
                  <c:v>2.0503038415792965</c:v>
                </c:pt>
                <c:pt idx="41">
                  <c:v>2.1445069205095595</c:v>
                </c:pt>
                <c:pt idx="42">
                  <c:v>2.2460367739042169</c:v>
                </c:pt>
                <c:pt idx="43">
                  <c:v>2.3558523658237536</c:v>
                </c:pt>
                <c:pt idx="44">
                  <c:v>2.4750868534162969</c:v>
                </c:pt>
                <c:pt idx="45">
                  <c:v>2.6050890646938019</c:v>
                </c:pt>
                <c:pt idx="46">
                  <c:v>2.7474774194546239</c:v>
                </c:pt>
                <c:pt idx="47">
                  <c:v>2.9042108776758235</c:v>
                </c:pt>
                <c:pt idx="48">
                  <c:v>3.0776835371752549</c:v>
                </c:pt>
                <c:pt idx="49">
                  <c:v>3.2708526184841427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3D-49C5-A442-F9DF534E2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2365936"/>
        <c:axId val="1757901824"/>
      </c:scatterChart>
      <c:valAx>
        <c:axId val="1842365936"/>
        <c:scaling>
          <c:orientation val="minMax"/>
          <c:max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Latitud</a:t>
                </a:r>
                <a:r>
                  <a:rPr lang="es-ES" baseline="0"/>
                  <a:t> (º)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57901824"/>
        <c:crosses val="autoZero"/>
        <c:crossBetween val="midCat"/>
      </c:valAx>
      <c:valAx>
        <c:axId val="175790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k</a:t>
                </a:r>
                <a:r>
                  <a:rPr lang="es-ES" baseline="0"/>
                  <a:t> (m)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4236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22" fmlaLink="$AN$6" fmlaRange="$AS$4:$AS$55" noThreeD="1" sel="2" val="0"/>
</file>

<file path=xl/ctrlProps/ctrlProp2.xml><?xml version="1.0" encoding="utf-8"?>
<formControlPr xmlns="http://schemas.microsoft.com/office/spreadsheetml/2009/9/main" objectType="Drop" dropLines="12" dropStyle="combo" dx="22" fmlaLink="$AN$8" fmlaRange="$AP$4:$AP$15" noThreeD="1" sel="7" val="0"/>
</file>

<file path=xl/ctrlProps/ctrlProp3.xml><?xml version="1.0" encoding="utf-8"?>
<formControlPr xmlns="http://schemas.microsoft.com/office/spreadsheetml/2009/9/main" objectType="Spin" dx="16" fmlaLink="$C$10" inc="5" max="90" noThreeD="1" page="10" val="25"/>
</file>

<file path=xl/ctrlProps/ctrlProp4.xml><?xml version="1.0" encoding="utf-8"?>
<formControlPr xmlns="http://schemas.microsoft.com/office/spreadsheetml/2009/9/main" objectType="Drop" dropLines="12" dropStyle="combo" dx="22" fmlaLink="$AL$6" fmlaRange="$AN$41:$AN$52" noThreeD="1" sel="6" val="0"/>
</file>

<file path=xl/ctrlProps/ctrlProp5.xml><?xml version="1.0" encoding="utf-8"?>
<formControlPr xmlns="http://schemas.microsoft.com/office/spreadsheetml/2009/9/main" objectType="Drop" dropLines="12" dropStyle="combo" dx="22" fmlaLink="$AL$8" fmlaRange="$AL$41:$AL$52" noThreeD="1" sel="8" val="0"/>
</file>

<file path=xl/ctrlProps/ctrlProp6.xml><?xml version="1.0" encoding="utf-8"?>
<formControlPr xmlns="http://schemas.microsoft.com/office/spreadsheetml/2009/9/main" objectType="Radio" checked="Checked" firstButton="1" fmlaLink="$AL$25" lockText="1" noThreeD="1"/>
</file>

<file path=xl/ctrlProps/ctrlProp7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2.xml"/><Relationship Id="rId1" Type="http://schemas.openxmlformats.org/officeDocument/2006/relationships/image" Target="../media/image11.jpeg"/><Relationship Id="rId4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10</xdr:row>
      <xdr:rowOff>38100</xdr:rowOff>
    </xdr:from>
    <xdr:to>
      <xdr:col>8</xdr:col>
      <xdr:colOff>2838450</xdr:colOff>
      <xdr:row>37</xdr:row>
      <xdr:rowOff>66675</xdr:rowOff>
    </xdr:to>
    <xdr:pic>
      <xdr:nvPicPr>
        <xdr:cNvPr id="11295" name="Imagen 2">
          <a:extLst>
            <a:ext uri="{FF2B5EF4-FFF2-40B4-BE49-F238E27FC236}">
              <a16:creationId xmlns:a16="http://schemas.microsoft.com/office/drawing/2014/main" id="{00000000-0008-0000-0000-00001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2171700"/>
          <a:ext cx="2743200" cy="542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3181350</xdr:colOff>
      <xdr:row>14</xdr:row>
      <xdr:rowOff>180975</xdr:rowOff>
    </xdr:from>
    <xdr:to>
      <xdr:col>15</xdr:col>
      <xdr:colOff>342900</xdr:colOff>
      <xdr:row>35</xdr:row>
      <xdr:rowOff>47625</xdr:rowOff>
    </xdr:to>
    <xdr:pic>
      <xdr:nvPicPr>
        <xdr:cNvPr id="11296" name="Imagen 4">
          <a:extLst>
            <a:ext uri="{FF2B5EF4-FFF2-40B4-BE49-F238E27FC236}">
              <a16:creationId xmlns:a16="http://schemas.microsoft.com/office/drawing/2014/main" id="{00000000-0008-0000-0000-00002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50" y="3076575"/>
          <a:ext cx="5076825" cy="412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</xdr:row>
          <xdr:rowOff>9525</xdr:rowOff>
        </xdr:from>
        <xdr:to>
          <xdr:col>3</xdr:col>
          <xdr:colOff>685800</xdr:colOff>
          <xdr:row>5</xdr:row>
          <xdr:rowOff>219075</xdr:rowOff>
        </xdr:to>
        <xdr:sp macro="" textlink="">
          <xdr:nvSpPr>
            <xdr:cNvPr id="1025" name="Lista desplegable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7</xdr:row>
          <xdr:rowOff>19050</xdr:rowOff>
        </xdr:from>
        <xdr:to>
          <xdr:col>3</xdr:col>
          <xdr:colOff>685800</xdr:colOff>
          <xdr:row>7</xdr:row>
          <xdr:rowOff>228600</xdr:rowOff>
        </xdr:to>
        <xdr:sp macro="" textlink="">
          <xdr:nvSpPr>
            <xdr:cNvPr id="1026" name="Lista desplegabl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342900</xdr:colOff>
          <xdr:row>8</xdr:row>
          <xdr:rowOff>200025</xdr:rowOff>
        </xdr:from>
        <xdr:to>
          <xdr:col>3</xdr:col>
          <xdr:colOff>476250</xdr:colOff>
          <xdr:row>10</xdr:row>
          <xdr:rowOff>57150</xdr:rowOff>
        </xdr:to>
        <xdr:sp macro="" textlink="">
          <xdr:nvSpPr>
            <xdr:cNvPr id="1028" name="Control de número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</xdr:row>
          <xdr:rowOff>19050</xdr:rowOff>
        </xdr:from>
        <xdr:to>
          <xdr:col>8</xdr:col>
          <xdr:colOff>161925</xdr:colOff>
          <xdr:row>5</xdr:row>
          <xdr:rowOff>228600</xdr:rowOff>
        </xdr:to>
        <xdr:sp macro="" textlink="">
          <xdr:nvSpPr>
            <xdr:cNvPr id="1029" name="Lista desplegable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723900</xdr:colOff>
          <xdr:row>7</xdr:row>
          <xdr:rowOff>19050</xdr:rowOff>
        </xdr:from>
        <xdr:to>
          <xdr:col>8</xdr:col>
          <xdr:colOff>161925</xdr:colOff>
          <xdr:row>8</xdr:row>
          <xdr:rowOff>19050</xdr:rowOff>
        </xdr:to>
        <xdr:sp macro="" textlink="">
          <xdr:nvSpPr>
            <xdr:cNvPr id="1030" name="Lista desplegabl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17</xdr:row>
          <xdr:rowOff>142875</xdr:rowOff>
        </xdr:from>
        <xdr:to>
          <xdr:col>7</xdr:col>
          <xdr:colOff>304800</xdr:colOff>
          <xdr:row>18</xdr:row>
          <xdr:rowOff>180975</xdr:rowOff>
        </xdr:to>
        <xdr:sp macro="" textlink="">
          <xdr:nvSpPr>
            <xdr:cNvPr id="1035" name="Botón de opció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E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CUADRO 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19</xdr:row>
          <xdr:rowOff>161925</xdr:rowOff>
        </xdr:from>
        <xdr:to>
          <xdr:col>7</xdr:col>
          <xdr:colOff>238125</xdr:colOff>
          <xdr:row>20</xdr:row>
          <xdr:rowOff>76200</xdr:rowOff>
        </xdr:to>
        <xdr:sp macro="" textlink="">
          <xdr:nvSpPr>
            <xdr:cNvPr id="1036" name="Botón de opció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E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CUADRO B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276225</xdr:colOff>
      <xdr:row>22</xdr:row>
      <xdr:rowOff>19050</xdr:rowOff>
    </xdr:from>
    <xdr:to>
      <xdr:col>13</xdr:col>
      <xdr:colOff>542925</xdr:colOff>
      <xdr:row>38</xdr:row>
      <xdr:rowOff>28575</xdr:rowOff>
    </xdr:to>
    <xdr:graphicFrame macro="">
      <xdr:nvGraphicFramePr>
        <xdr:cNvPr id="1065" name="Gráfico 2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733425</xdr:colOff>
      <xdr:row>6</xdr:row>
      <xdr:rowOff>161925</xdr:rowOff>
    </xdr:from>
    <xdr:to>
      <xdr:col>13</xdr:col>
      <xdr:colOff>621479</xdr:colOff>
      <xdr:row>32</xdr:row>
      <xdr:rowOff>66675</xdr:rowOff>
    </xdr:to>
    <xdr:pic>
      <xdr:nvPicPr>
        <xdr:cNvPr id="17437" name="Imagen 2">
          <a:extLst>
            <a:ext uri="{FF2B5EF4-FFF2-40B4-BE49-F238E27FC236}">
              <a16:creationId xmlns:a16="http://schemas.microsoft.com/office/drawing/2014/main" id="{00000000-0008-0000-0200-00001D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1552575"/>
          <a:ext cx="6155504" cy="500062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30</xdr:row>
      <xdr:rowOff>123825</xdr:rowOff>
    </xdr:from>
    <xdr:to>
      <xdr:col>6</xdr:col>
      <xdr:colOff>38100</xdr:colOff>
      <xdr:row>51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7639050"/>
          <a:ext cx="5410200" cy="4010025"/>
        </a:xfrm>
        <a:prstGeom prst="rect">
          <a:avLst/>
        </a:prstGeom>
        <a:ln w="19050">
          <a:solidFill>
            <a:schemeClr val="accent1"/>
          </a:solidFill>
        </a:ln>
      </xdr:spPr>
    </xdr:pic>
    <xdr:clientData/>
  </xdr:twoCellAnchor>
  <xdr:twoCellAnchor editAs="oneCell">
    <xdr:from>
      <xdr:col>6</xdr:col>
      <xdr:colOff>733425</xdr:colOff>
      <xdr:row>30</xdr:row>
      <xdr:rowOff>104775</xdr:rowOff>
    </xdr:from>
    <xdr:to>
      <xdr:col>11</xdr:col>
      <xdr:colOff>2266950</xdr:colOff>
      <xdr:row>57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7620000"/>
          <a:ext cx="5410200" cy="5143500"/>
        </a:xfrm>
        <a:prstGeom prst="rect">
          <a:avLst/>
        </a:prstGeom>
        <a:ln w="19050">
          <a:solidFill>
            <a:schemeClr val="accent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95250</xdr:colOff>
      <xdr:row>7</xdr:row>
      <xdr:rowOff>47625</xdr:rowOff>
    </xdr:from>
    <xdr:to>
      <xdr:col>14</xdr:col>
      <xdr:colOff>362322</xdr:colOff>
      <xdr:row>20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1524000"/>
          <a:ext cx="3600822" cy="31623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685799</xdr:colOff>
      <xdr:row>7</xdr:row>
      <xdr:rowOff>38099</xdr:rowOff>
    </xdr:from>
    <xdr:to>
      <xdr:col>19</xdr:col>
      <xdr:colOff>163662</xdr:colOff>
      <xdr:row>20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4" y="1514474"/>
          <a:ext cx="3287863" cy="31908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76199</xdr:colOff>
      <xdr:row>6</xdr:row>
      <xdr:rowOff>104774</xdr:rowOff>
    </xdr:from>
    <xdr:to>
      <xdr:col>15</xdr:col>
      <xdr:colOff>666749</xdr:colOff>
      <xdr:row>24</xdr:row>
      <xdr:rowOff>117595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4" y="1390649"/>
          <a:ext cx="6943725" cy="468007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161925</xdr:colOff>
      <xdr:row>24</xdr:row>
      <xdr:rowOff>266700</xdr:rowOff>
    </xdr:from>
    <xdr:to>
      <xdr:col>7</xdr:col>
      <xdr:colOff>231258</xdr:colOff>
      <xdr:row>37</xdr:row>
      <xdr:rowOff>20067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6219825"/>
          <a:ext cx="6574908" cy="251561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4</xdr:row>
      <xdr:rowOff>219075</xdr:rowOff>
    </xdr:from>
    <xdr:to>
      <xdr:col>19</xdr:col>
      <xdr:colOff>561975</xdr:colOff>
      <xdr:row>28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050" y="1123950"/>
          <a:ext cx="10010775" cy="5067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10</xdr:row>
      <xdr:rowOff>161925</xdr:rowOff>
    </xdr:from>
    <xdr:to>
      <xdr:col>17</xdr:col>
      <xdr:colOff>171450</xdr:colOff>
      <xdr:row>42</xdr:row>
      <xdr:rowOff>112852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2457450"/>
          <a:ext cx="10058400" cy="66851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5</xdr:row>
      <xdr:rowOff>123824</xdr:rowOff>
    </xdr:from>
    <xdr:to>
      <xdr:col>8</xdr:col>
      <xdr:colOff>713737</xdr:colOff>
      <xdr:row>28</xdr:row>
      <xdr:rowOff>142874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219199"/>
          <a:ext cx="6085837" cy="4505325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46</xdr:row>
      <xdr:rowOff>171450</xdr:rowOff>
    </xdr:from>
    <xdr:to>
      <xdr:col>19</xdr:col>
      <xdr:colOff>171450</xdr:colOff>
      <xdr:row>87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733423</xdr:colOff>
      <xdr:row>23</xdr:row>
      <xdr:rowOff>161925</xdr:rowOff>
    </xdr:from>
    <xdr:to>
      <xdr:col>8</xdr:col>
      <xdr:colOff>733424</xdr:colOff>
      <xdr:row>47</xdr:row>
      <xdr:rowOff>161925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3" y="4838700"/>
          <a:ext cx="6096001" cy="45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9</xdr:col>
      <xdr:colOff>43117</xdr:colOff>
      <xdr:row>62</xdr:row>
      <xdr:rowOff>66675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382250"/>
          <a:ext cx="6139117" cy="1781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channel/UCCLTNw7b2dk_k9ULcVoDDuQ" TargetMode="External"/><Relationship Id="rId1" Type="http://schemas.openxmlformats.org/officeDocument/2006/relationships/hyperlink" Target="https://youtu.be/dlRXvtz4-Dc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3" Type="http://schemas.openxmlformats.org/officeDocument/2006/relationships/hyperlink" Target="https://youtu.be/WoL-6yl3cis" TargetMode="Externa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2" Type="http://schemas.openxmlformats.org/officeDocument/2006/relationships/hyperlink" Target="https://www.youtube.com/channel/UCCLTNw7b2dk_k9ULcVoDDuQ" TargetMode="External"/><Relationship Id="rId1" Type="http://schemas.openxmlformats.org/officeDocument/2006/relationships/hyperlink" Target="http://re.jrc.ec.europa.eu/pvgis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2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youtu.be/2g1xaLBQG7k" TargetMode="External"/><Relationship Id="rId1" Type="http://schemas.openxmlformats.org/officeDocument/2006/relationships/hyperlink" Target="https://www.youtube.com/channel/UCCLTNw7b2dk_k9ULcVoDDuQ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youtu.be/2nxB0ixTgp8" TargetMode="External"/><Relationship Id="rId1" Type="http://schemas.openxmlformats.org/officeDocument/2006/relationships/hyperlink" Target="https://www.youtube.com/watch?v=dlRXvtz4-Dc&amp;list=PLVVala5ydyfAp_rFznbGkXDTdm0Oh_t9f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youtube.com/watch?v=kVqrvMEP0xE" TargetMode="External"/><Relationship Id="rId1" Type="http://schemas.openxmlformats.org/officeDocument/2006/relationships/hyperlink" Target="https://www.youtube.com/watch?v=dlRXvtz4-Dc&amp;list=PLVVala5ydyfAp_rFznbGkXDTdm0Oh_t9f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youtu.be/qEsHHys-5Ig" TargetMode="External"/><Relationship Id="rId1" Type="http://schemas.openxmlformats.org/officeDocument/2006/relationships/hyperlink" Target="https://www.youtube.com/watch?v=dlRXvtz4-Dc&amp;list=PLVVala5ydyfAp_rFznbGkXDTdm0Oh_t9f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youtu.be/MQ-yEEaIU8g" TargetMode="External"/><Relationship Id="rId1" Type="http://schemas.openxmlformats.org/officeDocument/2006/relationships/hyperlink" Target="https://www.youtube.com/watch?v=dlRXvtz4-Dc&amp;list=PLVVala5ydyfAp_rFznbGkXDTdm0Oh_t9f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youtu.be/qnif4A4qh4w" TargetMode="External"/><Relationship Id="rId1" Type="http://schemas.openxmlformats.org/officeDocument/2006/relationships/hyperlink" Target="https://www.youtube.com/watch?v=dlRXvtz4-Dc&amp;list=PLVVala5ydyfAp_rFznbGkXDTdm0Oh_t9f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youtu.be/PyHWS_zaGCY" TargetMode="External"/><Relationship Id="rId1" Type="http://schemas.openxmlformats.org/officeDocument/2006/relationships/hyperlink" Target="https://www.youtube.com/watch?v=dlRXvtz4-Dc&amp;list=PLVVala5ydyfAp_rFznbGkXDTdm0Oh_t9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K45"/>
  <sheetViews>
    <sheetView tabSelected="1" workbookViewId="0">
      <selection activeCell="G3" sqref="G3"/>
    </sheetView>
  </sheetViews>
  <sheetFormatPr baseColWidth="10" defaultRowHeight="15" x14ac:dyDescent="0.25"/>
  <cols>
    <col min="1" max="1" width="11.42578125" style="6"/>
    <col min="2" max="2" width="24" style="6" customWidth="1"/>
    <col min="3" max="3" width="11.42578125" style="6"/>
    <col min="4" max="4" width="11.140625" style="6" customWidth="1"/>
    <col min="5" max="5" width="20.7109375" style="6" bestFit="1" customWidth="1"/>
    <col min="6" max="6" width="20.7109375" style="6" customWidth="1"/>
    <col min="7" max="7" width="20.140625" style="6" bestFit="1" customWidth="1"/>
    <col min="8" max="8" width="19.28515625" style="6" customWidth="1"/>
    <col min="9" max="9" width="50.140625" style="6" customWidth="1"/>
    <col min="10" max="16384" width="11.42578125" style="6"/>
  </cols>
  <sheetData>
    <row r="2" spans="2:11" ht="15.75" thickBot="1" x14ac:dyDescent="0.3">
      <c r="H2" s="4"/>
      <c r="I2" s="4"/>
      <c r="J2" s="4"/>
      <c r="K2" s="4"/>
    </row>
    <row r="3" spans="2:11" ht="24" thickBot="1" x14ac:dyDescent="0.4">
      <c r="B3" s="18" t="s">
        <v>131</v>
      </c>
      <c r="C3" s="19"/>
      <c r="D3" s="19"/>
      <c r="E3" s="19"/>
      <c r="F3" s="20"/>
      <c r="H3" s="4"/>
      <c r="I3" s="3" t="s">
        <v>260</v>
      </c>
      <c r="J3" s="3"/>
      <c r="K3" s="4"/>
    </row>
    <row r="4" spans="2:11" x14ac:dyDescent="0.25">
      <c r="H4" s="4"/>
      <c r="I4" s="4" t="s">
        <v>252</v>
      </c>
      <c r="J4" s="5" t="s">
        <v>253</v>
      </c>
      <c r="K4" s="4"/>
    </row>
    <row r="5" spans="2:11" ht="23.25" x14ac:dyDescent="0.35">
      <c r="B5" s="21" t="s">
        <v>132</v>
      </c>
      <c r="C5" s="21"/>
      <c r="D5" s="21"/>
      <c r="H5" s="4"/>
      <c r="I5" s="4" t="s">
        <v>261</v>
      </c>
      <c r="J5" s="5" t="s">
        <v>255</v>
      </c>
      <c r="K5" s="4"/>
    </row>
    <row r="6" spans="2:11" x14ac:dyDescent="0.25">
      <c r="H6" s="4"/>
      <c r="I6" s="4"/>
      <c r="J6" s="4"/>
      <c r="K6" s="4"/>
    </row>
    <row r="7" spans="2:11" x14ac:dyDescent="0.25">
      <c r="B7" s="22" t="s">
        <v>133</v>
      </c>
      <c r="C7" s="22" t="s">
        <v>134</v>
      </c>
      <c r="D7" s="22" t="s">
        <v>135</v>
      </c>
      <c r="E7" s="22" t="s">
        <v>141</v>
      </c>
      <c r="F7" s="23" t="s">
        <v>142</v>
      </c>
      <c r="G7" s="23" t="s">
        <v>138</v>
      </c>
      <c r="H7" s="42"/>
      <c r="I7" s="43"/>
      <c r="J7" s="4"/>
      <c r="K7" s="4"/>
    </row>
    <row r="8" spans="2:11" x14ac:dyDescent="0.25">
      <c r="B8" s="26" t="s">
        <v>289</v>
      </c>
      <c r="C8" s="26">
        <v>2</v>
      </c>
      <c r="D8" s="26">
        <v>3</v>
      </c>
      <c r="E8" s="26">
        <v>3</v>
      </c>
      <c r="F8" s="27">
        <v>7</v>
      </c>
      <c r="G8" s="23">
        <f>F8*E8*D8*C8</f>
        <v>126</v>
      </c>
      <c r="H8" s="42"/>
      <c r="I8" s="43"/>
      <c r="J8" s="4"/>
      <c r="K8" s="4"/>
    </row>
    <row r="9" spans="2:11" x14ac:dyDescent="0.25">
      <c r="B9" s="26" t="s">
        <v>290</v>
      </c>
      <c r="C9" s="26">
        <v>2</v>
      </c>
      <c r="D9" s="26">
        <v>10</v>
      </c>
      <c r="E9" s="26">
        <v>2</v>
      </c>
      <c r="F9" s="27">
        <v>7</v>
      </c>
      <c r="G9" s="23">
        <f t="shared" ref="G9:G20" si="0">F9*E9*D9*C9</f>
        <v>280</v>
      </c>
      <c r="H9" s="24"/>
      <c r="I9" s="25"/>
    </row>
    <row r="10" spans="2:11" x14ac:dyDescent="0.25">
      <c r="B10" s="26" t="s">
        <v>291</v>
      </c>
      <c r="C10" s="26">
        <v>1</v>
      </c>
      <c r="D10" s="26">
        <v>60</v>
      </c>
      <c r="E10" s="26">
        <v>1</v>
      </c>
      <c r="F10" s="27">
        <v>5</v>
      </c>
      <c r="G10" s="23">
        <f t="shared" si="0"/>
        <v>300</v>
      </c>
      <c r="H10" s="24"/>
      <c r="I10" s="25"/>
    </row>
    <row r="11" spans="2:11" x14ac:dyDescent="0.25">
      <c r="B11" s="26"/>
      <c r="C11" s="26"/>
      <c r="D11" s="26"/>
      <c r="E11" s="26"/>
      <c r="F11" s="27"/>
      <c r="G11" s="23">
        <f t="shared" si="0"/>
        <v>0</v>
      </c>
      <c r="H11" s="24"/>
      <c r="I11" s="25"/>
    </row>
    <row r="12" spans="2:11" x14ac:dyDescent="0.25">
      <c r="B12" s="26"/>
      <c r="C12" s="26"/>
      <c r="D12" s="26"/>
      <c r="E12" s="26"/>
      <c r="F12" s="27"/>
      <c r="G12" s="23">
        <f t="shared" si="0"/>
        <v>0</v>
      </c>
      <c r="H12" s="24"/>
      <c r="I12" s="28"/>
    </row>
    <row r="13" spans="2:11" x14ac:dyDescent="0.25">
      <c r="B13" s="26"/>
      <c r="C13" s="26"/>
      <c r="D13" s="26"/>
      <c r="E13" s="26"/>
      <c r="F13" s="27"/>
      <c r="G13" s="23">
        <f t="shared" si="0"/>
        <v>0</v>
      </c>
      <c r="H13" s="24"/>
      <c r="I13" s="28"/>
    </row>
    <row r="14" spans="2:11" x14ac:dyDescent="0.25">
      <c r="B14" s="26"/>
      <c r="C14" s="26"/>
      <c r="D14" s="26"/>
      <c r="E14" s="26"/>
      <c r="F14" s="27"/>
      <c r="G14" s="23">
        <f t="shared" si="0"/>
        <v>0</v>
      </c>
      <c r="H14" s="24"/>
      <c r="I14" s="25"/>
    </row>
    <row r="15" spans="2:11" x14ac:dyDescent="0.25">
      <c r="B15" s="26"/>
      <c r="C15" s="26"/>
      <c r="D15" s="26"/>
      <c r="E15" s="26"/>
      <c r="F15" s="27"/>
      <c r="G15" s="23">
        <f t="shared" si="0"/>
        <v>0</v>
      </c>
      <c r="H15" s="24"/>
      <c r="I15" s="25"/>
    </row>
    <row r="16" spans="2:11" x14ac:dyDescent="0.25">
      <c r="B16" s="26"/>
      <c r="C16" s="26"/>
      <c r="D16" s="26"/>
      <c r="E16" s="26"/>
      <c r="F16" s="27"/>
      <c r="G16" s="23">
        <f t="shared" si="0"/>
        <v>0</v>
      </c>
      <c r="H16" s="24"/>
      <c r="I16" s="25"/>
    </row>
    <row r="17" spans="2:9" x14ac:dyDescent="0.25">
      <c r="B17" s="26"/>
      <c r="C17" s="26"/>
      <c r="D17" s="26"/>
      <c r="E17" s="26"/>
      <c r="F17" s="27"/>
      <c r="G17" s="23">
        <f t="shared" si="0"/>
        <v>0</v>
      </c>
      <c r="H17" s="24"/>
      <c r="I17" s="25"/>
    </row>
    <row r="18" spans="2:9" x14ac:dyDescent="0.25">
      <c r="B18" s="26"/>
      <c r="C18" s="26"/>
      <c r="D18" s="26"/>
      <c r="E18" s="26"/>
      <c r="F18" s="27"/>
      <c r="G18" s="23">
        <f t="shared" si="0"/>
        <v>0</v>
      </c>
      <c r="H18" s="24"/>
      <c r="I18" s="25"/>
    </row>
    <row r="19" spans="2:9" x14ac:dyDescent="0.25">
      <c r="B19" s="26"/>
      <c r="C19" s="26"/>
      <c r="D19" s="26"/>
      <c r="E19" s="26"/>
      <c r="F19" s="27"/>
      <c r="G19" s="23">
        <f t="shared" si="0"/>
        <v>0</v>
      </c>
      <c r="H19" s="24"/>
      <c r="I19" s="25"/>
    </row>
    <row r="20" spans="2:9" x14ac:dyDescent="0.25">
      <c r="B20" s="26"/>
      <c r="C20" s="26"/>
      <c r="D20" s="26"/>
      <c r="E20" s="26"/>
      <c r="F20" s="27"/>
      <c r="G20" s="23">
        <f t="shared" si="0"/>
        <v>0</v>
      </c>
      <c r="H20" s="24"/>
      <c r="I20" s="25"/>
    </row>
    <row r="21" spans="2:9" x14ac:dyDescent="0.25">
      <c r="B21" s="25" t="s">
        <v>136</v>
      </c>
      <c r="C21" s="25"/>
      <c r="D21" s="25"/>
      <c r="F21" s="29" t="s">
        <v>137</v>
      </c>
      <c r="G21" s="30">
        <f>SUM(G8:G20)</f>
        <v>706</v>
      </c>
      <c r="H21" s="31" t="s">
        <v>139</v>
      </c>
      <c r="I21" s="25"/>
    </row>
    <row r="22" spans="2:9" x14ac:dyDescent="0.25">
      <c r="G22" s="32">
        <f>G21/7</f>
        <v>100.85714285714286</v>
      </c>
      <c r="H22" s="33" t="s">
        <v>140</v>
      </c>
    </row>
    <row r="23" spans="2:9" ht="23.25" x14ac:dyDescent="0.35">
      <c r="B23" s="21" t="s">
        <v>263</v>
      </c>
      <c r="C23" s="21"/>
      <c r="D23" s="21"/>
    </row>
    <row r="24" spans="2:9" ht="23.25" x14ac:dyDescent="0.35">
      <c r="B24" s="21"/>
      <c r="C24" s="21"/>
      <c r="D24" s="21"/>
    </row>
    <row r="25" spans="2:9" x14ac:dyDescent="0.25">
      <c r="B25" s="22" t="s">
        <v>133</v>
      </c>
      <c r="C25" s="22" t="s">
        <v>134</v>
      </c>
      <c r="D25" s="22" t="s">
        <v>135</v>
      </c>
      <c r="E25" s="22" t="s">
        <v>141</v>
      </c>
      <c r="F25" s="23" t="s">
        <v>142</v>
      </c>
      <c r="G25" s="23" t="s">
        <v>138</v>
      </c>
      <c r="H25" s="24"/>
    </row>
    <row r="26" spans="2:9" ht="18.75" customHeight="1" x14ac:dyDescent="0.25">
      <c r="B26" s="26"/>
      <c r="C26" s="26"/>
      <c r="D26" s="26"/>
      <c r="E26" s="26"/>
      <c r="F26" s="27"/>
      <c r="G26" s="23">
        <f>C26*D26*E26*F26</f>
        <v>0</v>
      </c>
      <c r="H26" s="24"/>
    </row>
    <row r="27" spans="2:9" x14ac:dyDescent="0.25">
      <c r="B27" s="26"/>
      <c r="C27" s="26"/>
      <c r="D27" s="26"/>
      <c r="E27" s="26"/>
      <c r="F27" s="27"/>
      <c r="G27" s="22">
        <f t="shared" ref="G27:G38" si="1">C27*D27*E27*F27</f>
        <v>0</v>
      </c>
    </row>
    <row r="28" spans="2:9" x14ac:dyDescent="0.25">
      <c r="B28" s="26"/>
      <c r="C28" s="26"/>
      <c r="D28" s="26"/>
      <c r="E28" s="26"/>
      <c r="F28" s="27"/>
      <c r="G28" s="23">
        <f t="shared" si="1"/>
        <v>0</v>
      </c>
      <c r="H28" s="24"/>
    </row>
    <row r="29" spans="2:9" x14ac:dyDescent="0.25">
      <c r="B29" s="26"/>
      <c r="C29" s="26"/>
      <c r="D29" s="26"/>
      <c r="E29" s="26"/>
      <c r="F29" s="27"/>
      <c r="G29" s="23">
        <f t="shared" si="1"/>
        <v>0</v>
      </c>
      <c r="H29" s="24"/>
    </row>
    <row r="30" spans="2:9" x14ac:dyDescent="0.25">
      <c r="B30" s="26"/>
      <c r="C30" s="26"/>
      <c r="D30" s="26"/>
      <c r="E30" s="26"/>
      <c r="F30" s="27"/>
      <c r="G30" s="23">
        <f t="shared" si="1"/>
        <v>0</v>
      </c>
      <c r="H30" s="24"/>
    </row>
    <row r="31" spans="2:9" x14ac:dyDescent="0.25">
      <c r="B31" s="26"/>
      <c r="C31" s="26"/>
      <c r="D31" s="26"/>
      <c r="E31" s="26"/>
      <c r="F31" s="27"/>
      <c r="G31" s="23">
        <f t="shared" si="1"/>
        <v>0</v>
      </c>
      <c r="H31" s="24"/>
    </row>
    <row r="32" spans="2:9" x14ac:dyDescent="0.25">
      <c r="B32" s="26"/>
      <c r="C32" s="26"/>
      <c r="D32" s="26"/>
      <c r="E32" s="26"/>
      <c r="F32" s="27"/>
      <c r="G32" s="23">
        <f t="shared" si="1"/>
        <v>0</v>
      </c>
      <c r="H32" s="24"/>
    </row>
    <row r="33" spans="2:8" x14ac:dyDescent="0.25">
      <c r="B33" s="26"/>
      <c r="C33" s="26"/>
      <c r="D33" s="26"/>
      <c r="E33" s="26"/>
      <c r="F33" s="27"/>
      <c r="G33" s="23">
        <f t="shared" si="1"/>
        <v>0</v>
      </c>
      <c r="H33" s="24"/>
    </row>
    <row r="34" spans="2:8" x14ac:dyDescent="0.25">
      <c r="B34" s="26"/>
      <c r="C34" s="26"/>
      <c r="D34" s="26"/>
      <c r="E34" s="26"/>
      <c r="F34" s="27"/>
      <c r="G34" s="23">
        <f t="shared" si="1"/>
        <v>0</v>
      </c>
      <c r="H34" s="24"/>
    </row>
    <row r="35" spans="2:8" x14ac:dyDescent="0.25">
      <c r="B35" s="26"/>
      <c r="C35" s="26"/>
      <c r="D35" s="26"/>
      <c r="E35" s="26"/>
      <c r="F35" s="27"/>
      <c r="G35" s="23">
        <f t="shared" si="1"/>
        <v>0</v>
      </c>
      <c r="H35" s="24"/>
    </row>
    <row r="36" spans="2:8" x14ac:dyDescent="0.25">
      <c r="B36" s="26"/>
      <c r="C36" s="26"/>
      <c r="D36" s="26"/>
      <c r="E36" s="26"/>
      <c r="F36" s="27"/>
      <c r="G36" s="23">
        <f t="shared" si="1"/>
        <v>0</v>
      </c>
      <c r="H36" s="24"/>
    </row>
    <row r="37" spans="2:8" x14ac:dyDescent="0.25">
      <c r="B37" s="26"/>
      <c r="C37" s="26"/>
      <c r="D37" s="26"/>
      <c r="E37" s="26"/>
      <c r="F37" s="27"/>
      <c r="G37" s="23">
        <f t="shared" si="1"/>
        <v>0</v>
      </c>
      <c r="H37" s="24"/>
    </row>
    <row r="38" spans="2:8" x14ac:dyDescent="0.25">
      <c r="B38" s="26"/>
      <c r="C38" s="26"/>
      <c r="D38" s="26"/>
      <c r="E38" s="26"/>
      <c r="F38" s="27"/>
      <c r="G38" s="23">
        <f t="shared" si="1"/>
        <v>0</v>
      </c>
      <c r="H38" s="24"/>
    </row>
    <row r="39" spans="2:8" x14ac:dyDescent="0.25">
      <c r="B39" s="25" t="s">
        <v>136</v>
      </c>
      <c r="C39" s="25"/>
      <c r="D39" s="25"/>
      <c r="F39" s="29" t="s">
        <v>262</v>
      </c>
      <c r="G39" s="30">
        <f>SUM(G26:G38)</f>
        <v>0</v>
      </c>
      <c r="H39" s="31" t="s">
        <v>139</v>
      </c>
    </row>
    <row r="40" spans="2:8" x14ac:dyDescent="0.25">
      <c r="G40" s="32">
        <f>G39/7</f>
        <v>0</v>
      </c>
      <c r="H40" s="33" t="s">
        <v>140</v>
      </c>
    </row>
    <row r="41" spans="2:8" ht="15.75" thickBot="1" x14ac:dyDescent="0.3"/>
    <row r="42" spans="2:8" ht="23.25" x14ac:dyDescent="0.35">
      <c r="B42" s="34" t="s">
        <v>143</v>
      </c>
      <c r="C42" s="35"/>
      <c r="D42" s="35"/>
      <c r="E42" s="35"/>
      <c r="F42" s="35"/>
      <c r="G42" s="35"/>
      <c r="H42" s="36"/>
    </row>
    <row r="43" spans="2:8" x14ac:dyDescent="0.25">
      <c r="B43" s="37"/>
      <c r="C43" s="25"/>
      <c r="D43" s="25"/>
      <c r="E43" s="25"/>
      <c r="F43" s="31" t="s">
        <v>144</v>
      </c>
      <c r="G43" s="31">
        <f>G39+G21</f>
        <v>706</v>
      </c>
      <c r="H43" s="38" t="s">
        <v>139</v>
      </c>
    </row>
    <row r="44" spans="2:8" x14ac:dyDescent="0.25">
      <c r="B44" s="37"/>
      <c r="C44" s="25"/>
      <c r="D44" s="25"/>
      <c r="E44" s="25"/>
      <c r="F44" s="31"/>
      <c r="G44" s="30">
        <f>G22+G40</f>
        <v>100.85714285714286</v>
      </c>
      <c r="H44" s="38" t="s">
        <v>140</v>
      </c>
    </row>
    <row r="45" spans="2:8" ht="15.75" thickBot="1" x14ac:dyDescent="0.3">
      <c r="B45" s="39"/>
      <c r="C45" s="40"/>
      <c r="D45" s="40"/>
      <c r="E45" s="40"/>
      <c r="F45" s="40"/>
      <c r="G45" s="40"/>
      <c r="H45" s="41"/>
    </row>
  </sheetData>
  <sheetProtection algorithmName="SHA-512" hashValue="6yrG8oeltGImhDV8LNhEL+a5+CL7tEbhOQ4fbHRcaLPBGziyr5gxQtMm6x3tQHKxZ7ZKnNcv3ICgwNIbMTYTjA==" saltValue="/rHt2dNqkP7T6DiTx4GteQ==" spinCount="100000" sheet="1" objects="1" scenarios="1"/>
  <hyperlinks>
    <hyperlink ref="J4" r:id="rId1" xr:uid="{00000000-0004-0000-0000-000000000000}"/>
    <hyperlink ref="J5" r:id="rId2" xr:uid="{00000000-0004-0000-0000-000001000000}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267"/>
  <sheetViews>
    <sheetView workbookViewId="0">
      <selection activeCell="T17" sqref="T17"/>
    </sheetView>
  </sheetViews>
  <sheetFormatPr baseColWidth="10" defaultColWidth="11" defaultRowHeight="15" x14ac:dyDescent="0.25"/>
  <cols>
    <col min="1" max="1" width="12.42578125" style="44" customWidth="1"/>
    <col min="2" max="2" width="12.85546875" style="44" customWidth="1"/>
    <col min="3" max="3" width="13.42578125" style="44" customWidth="1"/>
    <col min="4" max="4" width="11" style="44" customWidth="1"/>
    <col min="5" max="5" width="16.85546875" style="44" bestFit="1" customWidth="1"/>
    <col min="6" max="8" width="11" style="44" customWidth="1"/>
    <col min="9" max="9" width="5.7109375" style="44" customWidth="1"/>
    <col min="10" max="12" width="11" style="44" customWidth="1"/>
    <col min="13" max="13" width="16.5703125" style="44" customWidth="1"/>
    <col min="14" max="14" width="11" style="44" customWidth="1"/>
    <col min="15" max="15" width="9.5703125" style="44" customWidth="1"/>
    <col min="16" max="37" width="11" style="44" customWidth="1"/>
    <col min="38" max="38" width="10.5703125" style="44" customWidth="1"/>
    <col min="39" max="39" width="14.28515625" style="44" customWidth="1"/>
    <col min="40" max="40" width="11" style="44" customWidth="1"/>
    <col min="41" max="41" width="14.42578125" style="44" customWidth="1"/>
    <col min="42" max="42" width="10" style="44" customWidth="1"/>
    <col min="43" max="43" width="13.42578125" style="45" customWidth="1"/>
    <col min="44" max="44" width="11" style="44" customWidth="1"/>
    <col min="45" max="45" width="15.7109375" style="44" customWidth="1"/>
    <col min="46" max="46" width="8.5703125" style="44" customWidth="1"/>
    <col min="47" max="48" width="8.140625" style="44" customWidth="1"/>
    <col min="49" max="56" width="7.85546875" style="44" customWidth="1"/>
    <col min="57" max="57" width="8.5703125" style="44" customWidth="1"/>
    <col min="58" max="58" width="9.28515625" style="44" customWidth="1"/>
    <col min="59" max="60" width="11" style="44" customWidth="1"/>
    <col min="61" max="61" width="13" style="44" customWidth="1"/>
    <col min="62" max="62" width="11" style="44" customWidth="1"/>
    <col min="63" max="77" width="9.140625" style="44" customWidth="1"/>
    <col min="78" max="16384" width="11" style="44"/>
  </cols>
  <sheetData>
    <row r="1" spans="1:80" ht="18.75" customHeight="1" x14ac:dyDescent="0.25">
      <c r="A1" s="267"/>
      <c r="B1" s="267"/>
    </row>
    <row r="2" spans="1:80" ht="26.25" customHeight="1" x14ac:dyDescent="0.35">
      <c r="B2" s="46" t="s">
        <v>107</v>
      </c>
      <c r="C2" s="4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AS2" s="266" t="s">
        <v>0</v>
      </c>
      <c r="AT2" s="266"/>
      <c r="AU2" s="266"/>
      <c r="AV2" s="266"/>
      <c r="AW2" s="266"/>
      <c r="AX2" s="266"/>
      <c r="AY2" s="266"/>
      <c r="AZ2" s="48"/>
      <c r="BA2" s="48"/>
      <c r="BB2" s="48"/>
      <c r="BC2" s="48"/>
      <c r="BD2" s="48"/>
      <c r="BE2" s="48"/>
      <c r="BF2" s="49"/>
      <c r="BL2" s="44">
        <v>1</v>
      </c>
      <c r="BM2" s="44">
        <v>2</v>
      </c>
      <c r="BN2" s="44">
        <v>3</v>
      </c>
      <c r="BO2" s="44">
        <v>4</v>
      </c>
      <c r="BP2" s="44">
        <v>5</v>
      </c>
      <c r="BQ2" s="44">
        <v>6</v>
      </c>
      <c r="BR2" s="44">
        <v>7</v>
      </c>
      <c r="BS2" s="44">
        <v>8</v>
      </c>
      <c r="BT2" s="44">
        <v>9</v>
      </c>
      <c r="BU2" s="44">
        <v>10</v>
      </c>
      <c r="BV2" s="44">
        <v>11</v>
      </c>
      <c r="BW2" s="44">
        <v>12</v>
      </c>
      <c r="CA2" s="44" t="s">
        <v>19</v>
      </c>
      <c r="CB2" s="44" t="s">
        <v>50</v>
      </c>
    </row>
    <row r="3" spans="1:80" ht="23.25" x14ac:dyDescent="0.35">
      <c r="K3" s="1"/>
      <c r="L3" s="7" t="s">
        <v>260</v>
      </c>
      <c r="M3" s="1"/>
      <c r="N3" s="1"/>
      <c r="O3" s="1"/>
      <c r="P3" s="1"/>
      <c r="Q3" s="1"/>
      <c r="R3" s="1"/>
      <c r="S3" s="1"/>
      <c r="T3" s="1"/>
      <c r="U3" s="1"/>
      <c r="AS3" s="50" t="s">
        <v>1</v>
      </c>
      <c r="AT3" s="51" t="s">
        <v>2</v>
      </c>
      <c r="AU3" s="52" t="s">
        <v>3</v>
      </c>
      <c r="AV3" s="52" t="s">
        <v>4</v>
      </c>
      <c r="AW3" s="52" t="s">
        <v>5</v>
      </c>
      <c r="AX3" s="52" t="s">
        <v>6</v>
      </c>
      <c r="AY3" s="52" t="s">
        <v>7</v>
      </c>
      <c r="AZ3" s="52" t="s">
        <v>8</v>
      </c>
      <c r="BA3" s="52" t="s">
        <v>9</v>
      </c>
      <c r="BB3" s="52" t="s">
        <v>10</v>
      </c>
      <c r="BC3" s="52" t="s">
        <v>11</v>
      </c>
      <c r="BD3" s="52" t="s">
        <v>12</v>
      </c>
      <c r="BE3" s="52" t="s">
        <v>13</v>
      </c>
      <c r="BF3" s="52" t="s">
        <v>14</v>
      </c>
      <c r="BG3" s="53" t="s">
        <v>19</v>
      </c>
      <c r="BH3" s="54"/>
      <c r="BI3" s="55" t="s">
        <v>97</v>
      </c>
      <c r="BJ3" s="54" t="s">
        <v>20</v>
      </c>
      <c r="BK3" s="56" t="s">
        <v>17</v>
      </c>
      <c r="BL3" s="56" t="s">
        <v>2</v>
      </c>
      <c r="BM3" s="57" t="s">
        <v>3</v>
      </c>
      <c r="BN3" s="57" t="s">
        <v>4</v>
      </c>
      <c r="BO3" s="57" t="s">
        <v>5</v>
      </c>
      <c r="BP3" s="57" t="s">
        <v>6</v>
      </c>
      <c r="BQ3" s="57" t="s">
        <v>7</v>
      </c>
      <c r="BR3" s="57" t="s">
        <v>8</v>
      </c>
      <c r="BS3" s="57" t="s">
        <v>9</v>
      </c>
      <c r="BT3" s="57" t="s">
        <v>10</v>
      </c>
      <c r="BU3" s="57" t="s">
        <v>11</v>
      </c>
      <c r="BV3" s="56" t="s">
        <v>12</v>
      </c>
      <c r="BW3" s="56" t="s">
        <v>13</v>
      </c>
      <c r="BX3" s="55"/>
      <c r="BY3" s="58" t="s">
        <v>18</v>
      </c>
      <c r="CA3" s="44">
        <v>27</v>
      </c>
      <c r="CB3" s="44">
        <f>VLOOKUP(C10,BK4:BW22,AQ19,FALSE)</f>
        <v>0.94</v>
      </c>
    </row>
    <row r="4" spans="1:80" x14ac:dyDescent="0.25">
      <c r="B4" s="44" t="s">
        <v>104</v>
      </c>
      <c r="C4" s="59"/>
      <c r="F4" s="44" t="s">
        <v>105</v>
      </c>
      <c r="G4" s="59"/>
      <c r="K4" s="1"/>
      <c r="L4" s="1" t="s">
        <v>252</v>
      </c>
      <c r="M4" s="1"/>
      <c r="N4" s="1"/>
      <c r="O4" s="1"/>
      <c r="P4" s="2" t="s">
        <v>253</v>
      </c>
      <c r="Q4" s="1"/>
      <c r="R4" s="1"/>
      <c r="S4" s="1"/>
      <c r="T4" s="1"/>
      <c r="U4" s="1"/>
      <c r="AO4" s="44">
        <v>1</v>
      </c>
      <c r="AP4" s="44" t="s">
        <v>31</v>
      </c>
      <c r="AQ4" s="45">
        <f>VLOOKUP(AN6,AR4:BF55,3,FALSE)</f>
        <v>6.7</v>
      </c>
      <c r="AR4" s="44">
        <v>1</v>
      </c>
      <c r="AS4" s="60" t="s">
        <v>22</v>
      </c>
      <c r="AT4" s="61">
        <v>4.5999999999999996</v>
      </c>
      <c r="AU4" s="62">
        <v>6.9</v>
      </c>
      <c r="AV4" s="62">
        <v>11.2</v>
      </c>
      <c r="AW4" s="62">
        <v>13</v>
      </c>
      <c r="AX4" s="62">
        <v>14.8</v>
      </c>
      <c r="AY4" s="62">
        <v>16.600000000000001</v>
      </c>
      <c r="AZ4" s="62">
        <v>18.100000000000001</v>
      </c>
      <c r="BA4" s="62">
        <v>17.3</v>
      </c>
      <c r="BB4" s="62">
        <v>14.3</v>
      </c>
      <c r="BC4" s="62">
        <v>9.5</v>
      </c>
      <c r="BD4" s="62">
        <v>5.5</v>
      </c>
      <c r="BE4" s="62">
        <v>4.0999999999999996</v>
      </c>
      <c r="BF4" s="62">
        <v>11.3</v>
      </c>
      <c r="BG4" s="63">
        <v>43</v>
      </c>
      <c r="BH4" s="63">
        <v>1</v>
      </c>
      <c r="BI4" s="55">
        <f>BJ4+BK4</f>
        <v>27</v>
      </c>
      <c r="BJ4" s="63">
        <v>27</v>
      </c>
      <c r="BK4" s="64">
        <v>0</v>
      </c>
      <c r="BL4" s="56">
        <v>1</v>
      </c>
      <c r="BM4" s="57">
        <v>1</v>
      </c>
      <c r="BN4" s="57">
        <v>1</v>
      </c>
      <c r="BO4" s="57">
        <v>1</v>
      </c>
      <c r="BP4" s="57">
        <v>1</v>
      </c>
      <c r="BQ4" s="57">
        <v>1</v>
      </c>
      <c r="BR4" s="57">
        <v>1</v>
      </c>
      <c r="BS4" s="57">
        <v>1</v>
      </c>
      <c r="BT4" s="57">
        <v>1</v>
      </c>
      <c r="BU4" s="57">
        <v>1</v>
      </c>
      <c r="BV4" s="56">
        <v>1</v>
      </c>
      <c r="BW4" s="56">
        <v>1</v>
      </c>
      <c r="BX4" s="55">
        <f>BJ4+BK4</f>
        <v>27</v>
      </c>
      <c r="BY4" s="58">
        <v>0</v>
      </c>
      <c r="CA4" s="44">
        <v>28</v>
      </c>
      <c r="CB4" s="44">
        <f>VLOOKUP(C10,BK23:BW41,AQ19,FALSE)</f>
        <v>0.95</v>
      </c>
    </row>
    <row r="5" spans="1:80" x14ac:dyDescent="0.25">
      <c r="B5" s="65"/>
      <c r="C5" s="66"/>
      <c r="D5" s="67"/>
      <c r="F5" s="65"/>
      <c r="G5" s="66"/>
      <c r="H5" s="66"/>
      <c r="I5" s="67"/>
      <c r="K5" s="1"/>
      <c r="L5" s="1" t="s">
        <v>254</v>
      </c>
      <c r="M5" s="1"/>
      <c r="N5" s="2" t="s">
        <v>255</v>
      </c>
      <c r="O5" s="1"/>
      <c r="P5" s="1"/>
      <c r="Q5" s="1"/>
      <c r="R5" s="1"/>
      <c r="S5" s="1"/>
      <c r="T5" s="1"/>
      <c r="U5" s="1"/>
      <c r="AO5" s="44">
        <v>2</v>
      </c>
      <c r="AP5" s="44" t="s">
        <v>32</v>
      </c>
      <c r="AQ5" s="45">
        <f>VLOOKUP(AN6,AR4:BF55,4,FALSE)</f>
        <v>10.5</v>
      </c>
      <c r="AR5" s="44">
        <v>2</v>
      </c>
      <c r="AS5" s="68" t="s">
        <v>23</v>
      </c>
      <c r="AT5" s="69">
        <v>6.7</v>
      </c>
      <c r="AU5" s="70">
        <v>10.5</v>
      </c>
      <c r="AV5" s="70">
        <v>15</v>
      </c>
      <c r="AW5" s="70">
        <v>19.2</v>
      </c>
      <c r="AX5" s="70">
        <v>21.2</v>
      </c>
      <c r="AY5" s="70">
        <v>25.1</v>
      </c>
      <c r="AZ5" s="70">
        <v>26.7</v>
      </c>
      <c r="BA5" s="70">
        <v>23.2</v>
      </c>
      <c r="BB5" s="70">
        <v>18.8</v>
      </c>
      <c r="BC5" s="70">
        <v>12.4</v>
      </c>
      <c r="BD5" s="70">
        <v>8.4</v>
      </c>
      <c r="BE5" s="70">
        <v>6.4</v>
      </c>
      <c r="BF5" s="70">
        <v>16.100000000000001</v>
      </c>
      <c r="BG5" s="63">
        <v>39</v>
      </c>
      <c r="BH5" s="63">
        <v>2</v>
      </c>
      <c r="BI5" s="55">
        <f t="shared" ref="BI5:BI68" si="0">BJ5+BK5</f>
        <v>32</v>
      </c>
      <c r="BJ5" s="63">
        <v>27</v>
      </c>
      <c r="BK5" s="64">
        <v>5</v>
      </c>
      <c r="BL5" s="64">
        <v>1.05</v>
      </c>
      <c r="BM5" s="71">
        <v>1.04</v>
      </c>
      <c r="BN5" s="71">
        <v>1.03</v>
      </c>
      <c r="BO5" s="71">
        <v>1.01</v>
      </c>
      <c r="BP5" s="71">
        <v>1</v>
      </c>
      <c r="BQ5" s="71">
        <v>1</v>
      </c>
      <c r="BR5" s="71">
        <v>1</v>
      </c>
      <c r="BS5" s="71">
        <v>1.01</v>
      </c>
      <c r="BT5" s="71">
        <v>1.03</v>
      </c>
      <c r="BU5" s="71">
        <v>1.05</v>
      </c>
      <c r="BV5" s="56">
        <v>1.06</v>
      </c>
      <c r="BW5" s="56">
        <v>1.06</v>
      </c>
      <c r="BX5" s="55">
        <f t="shared" ref="BX5:BX68" si="1">BJ5+BK5</f>
        <v>32</v>
      </c>
      <c r="BY5" s="58">
        <v>5</v>
      </c>
      <c r="CA5" s="44">
        <v>29</v>
      </c>
      <c r="CB5" s="44">
        <f>VLOOKUP(C10,BK42:BW60,AQ19,FALSE)</f>
        <v>0.95</v>
      </c>
    </row>
    <row r="6" spans="1:80" ht="18.75" x14ac:dyDescent="0.3">
      <c r="A6" s="72"/>
      <c r="B6" s="73" t="s">
        <v>21</v>
      </c>
      <c r="C6" s="74"/>
      <c r="D6" s="75"/>
      <c r="F6" s="76" t="s">
        <v>98</v>
      </c>
      <c r="G6" s="74" t="s">
        <v>100</v>
      </c>
      <c r="H6" s="74"/>
      <c r="I6" s="75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AL6" s="44">
        <v>6</v>
      </c>
      <c r="AM6" s="44" t="s">
        <v>46</v>
      </c>
      <c r="AN6" s="44">
        <v>2</v>
      </c>
      <c r="AO6" s="44">
        <v>3</v>
      </c>
      <c r="AP6" s="44" t="s">
        <v>33</v>
      </c>
      <c r="AQ6" s="45">
        <f>VLOOKUP(AN6,AR4:BF55,5,FALSE)</f>
        <v>15</v>
      </c>
      <c r="AR6" s="44">
        <v>3</v>
      </c>
      <c r="AS6" s="68" t="s">
        <v>24</v>
      </c>
      <c r="AT6" s="69">
        <v>8.5</v>
      </c>
      <c r="AU6" s="70">
        <v>12</v>
      </c>
      <c r="AV6" s="70">
        <v>16.3</v>
      </c>
      <c r="AW6" s="70">
        <v>18.899999999999999</v>
      </c>
      <c r="AX6" s="70">
        <v>23.1</v>
      </c>
      <c r="AY6" s="70">
        <v>24.8</v>
      </c>
      <c r="AZ6" s="70">
        <v>25.8</v>
      </c>
      <c r="BA6" s="70">
        <v>22.5</v>
      </c>
      <c r="BB6" s="70">
        <v>18.3</v>
      </c>
      <c r="BC6" s="70">
        <v>13.6</v>
      </c>
      <c r="BD6" s="70">
        <v>9.8000000000000007</v>
      </c>
      <c r="BE6" s="70">
        <v>7.6</v>
      </c>
      <c r="BF6" s="70">
        <v>16.8</v>
      </c>
      <c r="BG6" s="63">
        <v>38</v>
      </c>
      <c r="BH6" s="63">
        <v>3</v>
      </c>
      <c r="BI6" s="55">
        <f t="shared" si="0"/>
        <v>37</v>
      </c>
      <c r="BJ6" s="63">
        <v>27</v>
      </c>
      <c r="BK6" s="64">
        <v>10</v>
      </c>
      <c r="BL6" s="64">
        <v>1.1000000000000001</v>
      </c>
      <c r="BM6" s="71">
        <v>1.08</v>
      </c>
      <c r="BN6" s="71">
        <v>1.05</v>
      </c>
      <c r="BO6" s="71">
        <v>1.02</v>
      </c>
      <c r="BP6" s="71">
        <v>1</v>
      </c>
      <c r="BQ6" s="71">
        <v>0.99</v>
      </c>
      <c r="BR6" s="71">
        <v>1</v>
      </c>
      <c r="BS6" s="71">
        <v>1.02</v>
      </c>
      <c r="BT6" s="71">
        <v>1.06</v>
      </c>
      <c r="BU6" s="71">
        <v>1.0900000000000001</v>
      </c>
      <c r="BV6" s="56">
        <v>1.1200000000000001</v>
      </c>
      <c r="BW6" s="56">
        <v>1.1100000000000001</v>
      </c>
      <c r="BX6" s="55">
        <f t="shared" si="1"/>
        <v>37</v>
      </c>
      <c r="BY6" s="58">
        <v>10</v>
      </c>
      <c r="CA6" s="44">
        <v>30.3</v>
      </c>
      <c r="CB6" s="44">
        <f>VLOOKUP(C10,BK61:BW79,AQ19,FALSE)</f>
        <v>0.96</v>
      </c>
    </row>
    <row r="7" spans="1:80" x14ac:dyDescent="0.25">
      <c r="B7" s="77"/>
      <c r="C7" s="74"/>
      <c r="D7" s="75"/>
      <c r="F7" s="77"/>
      <c r="G7" s="74"/>
      <c r="H7" s="74"/>
      <c r="I7" s="75"/>
      <c r="K7" s="1"/>
      <c r="L7" s="1" t="s">
        <v>256</v>
      </c>
      <c r="M7" s="1"/>
      <c r="N7" s="1"/>
      <c r="O7" s="1"/>
      <c r="P7" s="2" t="s">
        <v>253</v>
      </c>
      <c r="Q7" s="1"/>
      <c r="R7" s="1"/>
      <c r="S7" s="1"/>
      <c r="T7" s="1"/>
      <c r="U7" s="1"/>
      <c r="AO7" s="44">
        <v>4</v>
      </c>
      <c r="AP7" s="44" t="s">
        <v>34</v>
      </c>
      <c r="AQ7" s="45">
        <f>VLOOKUP(AN6,AR4:BF55,6,FALSE)</f>
        <v>19.2</v>
      </c>
      <c r="AR7" s="44">
        <v>4</v>
      </c>
      <c r="AS7" s="68" t="s">
        <v>25</v>
      </c>
      <c r="AT7" s="69">
        <v>8.9</v>
      </c>
      <c r="AU7" s="70">
        <v>12.2</v>
      </c>
      <c r="AV7" s="70">
        <v>16.399999999999999</v>
      </c>
      <c r="AW7" s="70">
        <v>19.600000000000001</v>
      </c>
      <c r="AX7" s="70">
        <v>23.1</v>
      </c>
      <c r="AY7" s="70">
        <v>24.6</v>
      </c>
      <c r="AZ7" s="70">
        <v>25.3</v>
      </c>
      <c r="BA7" s="70">
        <v>22.5</v>
      </c>
      <c r="BB7" s="70">
        <v>18.5</v>
      </c>
      <c r="BC7" s="70">
        <v>13.9</v>
      </c>
      <c r="BD7" s="70">
        <v>10</v>
      </c>
      <c r="BE7" s="70">
        <v>8</v>
      </c>
      <c r="BF7" s="70">
        <v>16.899999999999999</v>
      </c>
      <c r="BG7" s="78">
        <v>37</v>
      </c>
      <c r="BH7" s="63">
        <v>4</v>
      </c>
      <c r="BI7" s="55">
        <f t="shared" si="0"/>
        <v>42</v>
      </c>
      <c r="BJ7" s="63">
        <v>27</v>
      </c>
      <c r="BK7" s="64">
        <v>15</v>
      </c>
      <c r="BL7" s="64">
        <v>1.1399999999999999</v>
      </c>
      <c r="BM7" s="71">
        <v>1.1000000000000001</v>
      </c>
      <c r="BN7" s="71">
        <v>1.06</v>
      </c>
      <c r="BO7" s="71">
        <v>1.02</v>
      </c>
      <c r="BP7" s="71">
        <v>0.99</v>
      </c>
      <c r="BQ7" s="71">
        <v>0.97</v>
      </c>
      <c r="BR7" s="71">
        <v>0.99</v>
      </c>
      <c r="BS7" s="71">
        <v>1.02</v>
      </c>
      <c r="BT7" s="71">
        <v>1.07</v>
      </c>
      <c r="BU7" s="71">
        <v>1.1299999999999999</v>
      </c>
      <c r="BV7" s="56">
        <v>1.1599999999999999</v>
      </c>
      <c r="BW7" s="56">
        <v>1.1599999999999999</v>
      </c>
      <c r="BX7" s="55">
        <f t="shared" si="1"/>
        <v>42</v>
      </c>
      <c r="BY7" s="58">
        <v>15</v>
      </c>
      <c r="CA7" s="44">
        <v>35.200000000000003</v>
      </c>
      <c r="CB7" s="44">
        <f>VLOOKUP(C10,BK80:BW98,AQ19,FALSE)</f>
        <v>0.99</v>
      </c>
    </row>
    <row r="8" spans="1:80" ht="18.75" x14ac:dyDescent="0.3">
      <c r="B8" s="73" t="s">
        <v>30</v>
      </c>
      <c r="C8" s="74"/>
      <c r="D8" s="75"/>
      <c r="F8" s="77"/>
      <c r="G8" s="74" t="s">
        <v>101</v>
      </c>
      <c r="H8" s="74"/>
      <c r="I8" s="75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AL8" s="44">
        <v>8</v>
      </c>
      <c r="AM8" s="44" t="s">
        <v>47</v>
      </c>
      <c r="AN8" s="44">
        <v>7</v>
      </c>
      <c r="AO8" s="44">
        <v>5</v>
      </c>
      <c r="AP8" s="44" t="s">
        <v>35</v>
      </c>
      <c r="AQ8" s="45">
        <f>VLOOKUP(AN6,AR4:BF55,7,FALSE)</f>
        <v>21.2</v>
      </c>
      <c r="AR8" s="44">
        <v>5</v>
      </c>
      <c r="AS8" s="68" t="s">
        <v>26</v>
      </c>
      <c r="AT8" s="69">
        <v>5.3</v>
      </c>
      <c r="AU8" s="70">
        <v>7.7</v>
      </c>
      <c r="AV8" s="70">
        <v>10.6</v>
      </c>
      <c r="AW8" s="70">
        <v>12.2</v>
      </c>
      <c r="AX8" s="70">
        <v>15</v>
      </c>
      <c r="AY8" s="70">
        <v>15.2</v>
      </c>
      <c r="AZ8" s="70">
        <v>16.8</v>
      </c>
      <c r="BA8" s="70">
        <v>14.8</v>
      </c>
      <c r="BB8" s="70">
        <v>12.4</v>
      </c>
      <c r="BC8" s="70">
        <v>9.8000000000000007</v>
      </c>
      <c r="BD8" s="70">
        <v>5.9</v>
      </c>
      <c r="BE8" s="70">
        <v>4.5999999999999996</v>
      </c>
      <c r="BF8" s="70">
        <v>10.9</v>
      </c>
      <c r="BG8" s="78">
        <v>43</v>
      </c>
      <c r="BH8" s="63">
        <v>5</v>
      </c>
      <c r="BI8" s="55">
        <f t="shared" si="0"/>
        <v>47</v>
      </c>
      <c r="BJ8" s="63">
        <v>27</v>
      </c>
      <c r="BK8" s="64">
        <v>20</v>
      </c>
      <c r="BL8" s="64">
        <v>1.17</v>
      </c>
      <c r="BM8" s="71">
        <v>1.1299999999999999</v>
      </c>
      <c r="BN8" s="71">
        <v>1.07</v>
      </c>
      <c r="BO8" s="71">
        <v>1.01</v>
      </c>
      <c r="BP8" s="71">
        <v>0.97</v>
      </c>
      <c r="BQ8" s="71">
        <v>0.95</v>
      </c>
      <c r="BR8" s="71">
        <v>0.97</v>
      </c>
      <c r="BS8" s="71">
        <v>1.01</v>
      </c>
      <c r="BT8" s="71">
        <v>1.08</v>
      </c>
      <c r="BU8" s="71">
        <v>1.1599999999999999</v>
      </c>
      <c r="BV8" s="56">
        <v>1.21</v>
      </c>
      <c r="BW8" s="56">
        <v>1.2</v>
      </c>
      <c r="BX8" s="55">
        <f t="shared" si="1"/>
        <v>47</v>
      </c>
      <c r="BY8" s="58">
        <v>20</v>
      </c>
      <c r="CA8" s="44">
        <v>36</v>
      </c>
      <c r="CB8" s="44">
        <f>VLOOKUP(C10,BK99:BW117,AQ19,FALSE)</f>
        <v>1</v>
      </c>
    </row>
    <row r="9" spans="1:80" ht="18.75" customHeight="1" x14ac:dyDescent="0.3">
      <c r="A9" s="79"/>
      <c r="B9" s="77"/>
      <c r="C9" s="74"/>
      <c r="D9" s="75"/>
      <c r="F9" s="77"/>
      <c r="G9" s="74"/>
      <c r="H9" s="74"/>
      <c r="I9" s="75"/>
      <c r="K9" s="1"/>
      <c r="L9" s="268" t="s">
        <v>257</v>
      </c>
      <c r="M9" s="268"/>
      <c r="N9" s="268"/>
      <c r="O9" s="268"/>
      <c r="P9" s="268"/>
      <c r="Q9" s="268"/>
      <c r="R9" s="268"/>
      <c r="S9" s="268"/>
      <c r="T9" s="268"/>
      <c r="U9" s="268"/>
      <c r="AO9" s="44">
        <v>6</v>
      </c>
      <c r="AP9" s="44" t="s">
        <v>36</v>
      </c>
      <c r="AQ9" s="45">
        <f>VLOOKUP(AN6,AR4:BF55,8,FALSE)</f>
        <v>25.1</v>
      </c>
      <c r="AR9" s="44">
        <v>6</v>
      </c>
      <c r="AS9" s="68" t="s">
        <v>27</v>
      </c>
      <c r="AT9" s="69">
        <v>6</v>
      </c>
      <c r="AU9" s="70">
        <v>9.1</v>
      </c>
      <c r="AV9" s="70">
        <v>13.5</v>
      </c>
      <c r="AW9" s="70">
        <v>17.7</v>
      </c>
      <c r="AX9" s="70">
        <v>19.399999999999999</v>
      </c>
      <c r="AY9" s="70">
        <v>22.3</v>
      </c>
      <c r="AZ9" s="70">
        <v>26.3</v>
      </c>
      <c r="BA9" s="70">
        <v>25.3</v>
      </c>
      <c r="BB9" s="70">
        <v>18.8</v>
      </c>
      <c r="BC9" s="70">
        <v>11.2</v>
      </c>
      <c r="BD9" s="70">
        <v>6.9</v>
      </c>
      <c r="BE9" s="70">
        <v>5.2</v>
      </c>
      <c r="BF9" s="70">
        <v>15.1</v>
      </c>
      <c r="BG9" s="78">
        <v>41</v>
      </c>
      <c r="BH9" s="63">
        <v>6</v>
      </c>
      <c r="BI9" s="55">
        <f t="shared" si="0"/>
        <v>52</v>
      </c>
      <c r="BJ9" s="63">
        <v>27</v>
      </c>
      <c r="BK9" s="64">
        <v>25</v>
      </c>
      <c r="BL9" s="64">
        <v>1.19</v>
      </c>
      <c r="BM9" s="71">
        <v>1.1399999999999999</v>
      </c>
      <c r="BN9" s="71">
        <v>1.07</v>
      </c>
      <c r="BO9" s="71">
        <v>1</v>
      </c>
      <c r="BP9" s="71">
        <v>0.94</v>
      </c>
      <c r="BQ9" s="71">
        <v>0.92</v>
      </c>
      <c r="BR9" s="71">
        <v>0.94</v>
      </c>
      <c r="BS9" s="71">
        <v>1</v>
      </c>
      <c r="BT9" s="71">
        <v>1.0900000000000001</v>
      </c>
      <c r="BU9" s="71">
        <v>1.18</v>
      </c>
      <c r="BV9" s="56">
        <v>1.24</v>
      </c>
      <c r="BW9" s="56">
        <v>1.24</v>
      </c>
      <c r="BX9" s="55">
        <f t="shared" si="1"/>
        <v>52</v>
      </c>
      <c r="BY9" s="58">
        <v>25</v>
      </c>
      <c r="CA9" s="44">
        <v>37</v>
      </c>
      <c r="CB9" s="44">
        <f>VLOOKUP(C10,BK118:BW136,AQ19,FALSE)</f>
        <v>1</v>
      </c>
    </row>
    <row r="10" spans="1:80" ht="18.75" x14ac:dyDescent="0.3">
      <c r="A10" s="59"/>
      <c r="B10" s="73" t="s">
        <v>45</v>
      </c>
      <c r="C10" s="80">
        <v>25</v>
      </c>
      <c r="D10" s="75" t="s">
        <v>48</v>
      </c>
      <c r="F10" s="77"/>
      <c r="G10" s="74"/>
      <c r="H10" s="74"/>
      <c r="I10" s="75"/>
      <c r="K10" s="1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AO10" s="44">
        <v>7</v>
      </c>
      <c r="AP10" s="44" t="s">
        <v>37</v>
      </c>
      <c r="AQ10" s="45">
        <f>VLOOKUP(AN6,AR4:BF55,9,FALSE)</f>
        <v>26.7</v>
      </c>
      <c r="AR10" s="44">
        <v>7</v>
      </c>
      <c r="AS10" s="68" t="s">
        <v>28</v>
      </c>
      <c r="AT10" s="69">
        <v>6.5</v>
      </c>
      <c r="AU10" s="70">
        <v>10</v>
      </c>
      <c r="AV10" s="70">
        <v>13.6</v>
      </c>
      <c r="AW10" s="70">
        <v>18.7</v>
      </c>
      <c r="AX10" s="70">
        <v>21.8</v>
      </c>
      <c r="AY10" s="70">
        <v>24.6</v>
      </c>
      <c r="AZ10" s="70">
        <v>25.9</v>
      </c>
      <c r="BA10" s="70">
        <v>23.8</v>
      </c>
      <c r="BB10" s="70">
        <v>17.899999999999999</v>
      </c>
      <c r="BC10" s="70">
        <v>12.3</v>
      </c>
      <c r="BD10" s="70">
        <v>8.1999999999999993</v>
      </c>
      <c r="BE10" s="70">
        <v>6.2</v>
      </c>
      <c r="BF10" s="70">
        <v>15.8</v>
      </c>
      <c r="BG10" s="78">
        <v>39</v>
      </c>
      <c r="BH10" s="63">
        <v>7</v>
      </c>
      <c r="BI10" s="55">
        <f t="shared" si="0"/>
        <v>57</v>
      </c>
      <c r="BJ10" s="63">
        <v>27</v>
      </c>
      <c r="BK10" s="64">
        <v>30</v>
      </c>
      <c r="BL10" s="64">
        <v>1.21</v>
      </c>
      <c r="BM10" s="71">
        <v>1.1499999999999999</v>
      </c>
      <c r="BN10" s="71">
        <v>1.06</v>
      </c>
      <c r="BO10" s="71">
        <v>0.98</v>
      </c>
      <c r="BP10" s="71">
        <v>0.91</v>
      </c>
      <c r="BQ10" s="71">
        <v>0.88</v>
      </c>
      <c r="BR10" s="71">
        <v>0.91</v>
      </c>
      <c r="BS10" s="71">
        <v>0.95</v>
      </c>
      <c r="BT10" s="71">
        <v>1.08</v>
      </c>
      <c r="BU10" s="71">
        <v>1.19</v>
      </c>
      <c r="BV10" s="56">
        <v>1.26</v>
      </c>
      <c r="BW10" s="56">
        <v>1.26</v>
      </c>
      <c r="BX10" s="55">
        <f t="shared" si="1"/>
        <v>57</v>
      </c>
      <c r="BY10" s="58">
        <v>30</v>
      </c>
      <c r="CA10" s="44">
        <v>38</v>
      </c>
      <c r="CB10" s="44">
        <f>VLOOKUP(C10,BK137:BW155,AQ19,FALSE)</f>
        <v>1.01</v>
      </c>
    </row>
    <row r="11" spans="1:80" x14ac:dyDescent="0.25">
      <c r="B11" s="77"/>
      <c r="C11" s="74"/>
      <c r="D11" s="75"/>
      <c r="F11" s="77"/>
      <c r="G11" s="74"/>
      <c r="H11" s="74"/>
      <c r="I11" s="75"/>
      <c r="K11" s="1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AO11" s="44">
        <v>8</v>
      </c>
      <c r="AP11" s="44" t="s">
        <v>38</v>
      </c>
      <c r="AQ11" s="45">
        <f>VLOOKUP(AN6,AR4:BF55,10,FALSE)</f>
        <v>23.2</v>
      </c>
      <c r="AR11" s="44">
        <v>8</v>
      </c>
      <c r="AS11" s="68" t="s">
        <v>29</v>
      </c>
      <c r="AT11" s="69">
        <v>7.2</v>
      </c>
      <c r="AU11" s="70">
        <v>10.7</v>
      </c>
      <c r="AV11" s="70">
        <v>14.4</v>
      </c>
      <c r="AW11" s="70">
        <v>16.2</v>
      </c>
      <c r="AX11" s="70">
        <v>21</v>
      </c>
      <c r="AY11" s="70">
        <v>22.7</v>
      </c>
      <c r="AZ11" s="70">
        <v>24.2</v>
      </c>
      <c r="BA11" s="70">
        <v>20.6</v>
      </c>
      <c r="BB11" s="70">
        <v>16.399999999999999</v>
      </c>
      <c r="BC11" s="70">
        <v>12.2</v>
      </c>
      <c r="BD11" s="70">
        <v>8.5</v>
      </c>
      <c r="BE11" s="70">
        <v>6.5</v>
      </c>
      <c r="BF11" s="70">
        <v>15</v>
      </c>
      <c r="BG11" s="78">
        <v>40.1</v>
      </c>
      <c r="BH11" s="63">
        <v>8</v>
      </c>
      <c r="BI11" s="55">
        <f t="shared" si="0"/>
        <v>62</v>
      </c>
      <c r="BJ11" s="63">
        <v>27</v>
      </c>
      <c r="BK11" s="64">
        <v>35</v>
      </c>
      <c r="BL11" s="64">
        <v>1.22</v>
      </c>
      <c r="BM11" s="71">
        <v>1.1499999999999999</v>
      </c>
      <c r="BN11" s="71">
        <v>1.05</v>
      </c>
      <c r="BO11" s="71">
        <v>0.95</v>
      </c>
      <c r="BP11" s="71">
        <v>0.87</v>
      </c>
      <c r="BQ11" s="71">
        <v>0.84</v>
      </c>
      <c r="BR11" s="71">
        <v>0.87</v>
      </c>
      <c r="BS11" s="71">
        <v>0.95</v>
      </c>
      <c r="BT11" s="71">
        <v>1.07</v>
      </c>
      <c r="BU11" s="71">
        <v>1.2</v>
      </c>
      <c r="BV11" s="56">
        <v>1.28</v>
      </c>
      <c r="BW11" s="56">
        <v>1.28</v>
      </c>
      <c r="BX11" s="55">
        <f t="shared" si="1"/>
        <v>62</v>
      </c>
      <c r="BY11" s="58">
        <v>35</v>
      </c>
      <c r="CA11" s="44">
        <v>39</v>
      </c>
      <c r="CB11" s="44">
        <f>VLOOKUP(C10,BK156:BW174,AQ19,FALSE)</f>
        <v>1.02</v>
      </c>
    </row>
    <row r="12" spans="1:80" x14ac:dyDescent="0.25">
      <c r="B12" s="77"/>
      <c r="C12" s="74"/>
      <c r="D12" s="75"/>
      <c r="F12" s="77"/>
      <c r="G12" s="74"/>
      <c r="H12" s="74"/>
      <c r="I12" s="7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AO12" s="44">
        <v>9</v>
      </c>
      <c r="AP12" s="44" t="s">
        <v>39</v>
      </c>
      <c r="AQ12" s="45">
        <f>VLOOKUP(AN6,AR4:BF55,11,FALSE)</f>
        <v>18.8</v>
      </c>
      <c r="AR12" s="44">
        <v>9</v>
      </c>
      <c r="AS12" s="68" t="s">
        <v>52</v>
      </c>
      <c r="AT12" s="69">
        <v>6.5</v>
      </c>
      <c r="AU12" s="70">
        <v>9.5</v>
      </c>
      <c r="AV12" s="70">
        <v>12.9</v>
      </c>
      <c r="AW12" s="70">
        <v>16.100000000000001</v>
      </c>
      <c r="AX12" s="70">
        <v>18.600000000000001</v>
      </c>
      <c r="AY12" s="70">
        <v>20.3</v>
      </c>
      <c r="AZ12" s="70">
        <v>21.6</v>
      </c>
      <c r="BA12" s="70">
        <v>18.100000000000001</v>
      </c>
      <c r="BB12" s="70">
        <v>14.6</v>
      </c>
      <c r="BC12" s="70">
        <v>10.8</v>
      </c>
      <c r="BD12" s="70">
        <v>7.2</v>
      </c>
      <c r="BE12" s="70">
        <v>5.8</v>
      </c>
      <c r="BF12" s="70">
        <v>13.5</v>
      </c>
      <c r="BG12" s="78">
        <v>41</v>
      </c>
      <c r="BH12" s="63">
        <v>9</v>
      </c>
      <c r="BI12" s="55">
        <f t="shared" si="0"/>
        <v>67</v>
      </c>
      <c r="BJ12" s="63">
        <v>27</v>
      </c>
      <c r="BK12" s="64">
        <v>40</v>
      </c>
      <c r="BL12" s="64">
        <v>1.22</v>
      </c>
      <c r="BM12" s="71">
        <v>1.1399999999999999</v>
      </c>
      <c r="BN12" s="71">
        <v>1.03</v>
      </c>
      <c r="BO12" s="71">
        <v>0.91</v>
      </c>
      <c r="BP12" s="71">
        <v>0.83</v>
      </c>
      <c r="BQ12" s="71">
        <v>0.79</v>
      </c>
      <c r="BR12" s="71">
        <v>0.83</v>
      </c>
      <c r="BS12" s="71">
        <v>0.92</v>
      </c>
      <c r="BT12" s="71">
        <v>1.05</v>
      </c>
      <c r="BU12" s="71">
        <v>1.19</v>
      </c>
      <c r="BV12" s="56">
        <v>1.29</v>
      </c>
      <c r="BW12" s="56">
        <v>1.29</v>
      </c>
      <c r="BX12" s="55">
        <f t="shared" si="1"/>
        <v>67</v>
      </c>
      <c r="BY12" s="58">
        <v>40</v>
      </c>
      <c r="CA12" s="44">
        <v>40.1</v>
      </c>
      <c r="CB12" s="44">
        <f>VLOOKUP(C10,BK175:BW193,AQ19,FALSE)</f>
        <v>1.02</v>
      </c>
    </row>
    <row r="13" spans="1:80" x14ac:dyDescent="0.25">
      <c r="B13" s="77"/>
      <c r="C13" s="74"/>
      <c r="D13" s="75"/>
      <c r="F13" s="77"/>
      <c r="G13" s="74"/>
      <c r="H13" s="74"/>
      <c r="I13" s="75"/>
      <c r="K13" s="1"/>
      <c r="L13" s="1" t="s">
        <v>258</v>
      </c>
      <c r="M13" s="1"/>
      <c r="N13" s="1"/>
      <c r="O13" s="1"/>
      <c r="P13" s="1"/>
      <c r="Q13" s="1"/>
      <c r="R13" s="1"/>
      <c r="S13" s="1"/>
      <c r="T13" s="1"/>
      <c r="U13" s="1"/>
      <c r="AO13" s="44">
        <v>10</v>
      </c>
      <c r="AP13" s="44" t="s">
        <v>40</v>
      </c>
      <c r="AQ13" s="45">
        <f>VLOOKUP(AN6,AR4:BF55,12,FALSE)</f>
        <v>12.4</v>
      </c>
      <c r="AR13" s="44">
        <v>10</v>
      </c>
      <c r="AS13" s="68" t="s">
        <v>53</v>
      </c>
      <c r="AT13" s="69">
        <v>5.0999999999999996</v>
      </c>
      <c r="AU13" s="70">
        <v>7.9</v>
      </c>
      <c r="AV13" s="70">
        <v>12.4</v>
      </c>
      <c r="AW13" s="70">
        <v>16</v>
      </c>
      <c r="AX13" s="70">
        <v>18.7</v>
      </c>
      <c r="AY13" s="70">
        <v>21.5</v>
      </c>
      <c r="AZ13" s="70">
        <v>23</v>
      </c>
      <c r="BA13" s="70">
        <v>20.7</v>
      </c>
      <c r="BB13" s="70">
        <v>16.7</v>
      </c>
      <c r="BC13" s="70">
        <v>10.1</v>
      </c>
      <c r="BD13" s="70">
        <v>6.5</v>
      </c>
      <c r="BE13" s="70">
        <v>4.5</v>
      </c>
      <c r="BF13" s="70">
        <v>13.6</v>
      </c>
      <c r="BG13" s="78">
        <v>42</v>
      </c>
      <c r="BH13" s="63">
        <v>10</v>
      </c>
      <c r="BI13" s="55">
        <f t="shared" si="0"/>
        <v>72</v>
      </c>
      <c r="BJ13" s="63">
        <v>27</v>
      </c>
      <c r="BK13" s="64">
        <v>45</v>
      </c>
      <c r="BL13" s="64">
        <v>1.22</v>
      </c>
      <c r="BM13" s="71">
        <v>1.1200000000000001</v>
      </c>
      <c r="BN13" s="71">
        <v>1.03</v>
      </c>
      <c r="BO13" s="71">
        <v>0.87</v>
      </c>
      <c r="BP13" s="71">
        <v>0.78</v>
      </c>
      <c r="BQ13" s="71">
        <v>0.74</v>
      </c>
      <c r="BR13" s="71">
        <v>0.78</v>
      </c>
      <c r="BS13" s="71">
        <v>0.88</v>
      </c>
      <c r="BT13" s="71">
        <v>1.02</v>
      </c>
      <c r="BU13" s="71">
        <v>1.18</v>
      </c>
      <c r="BV13" s="56">
        <v>1.29</v>
      </c>
      <c r="BW13" s="56">
        <v>1.29</v>
      </c>
      <c r="BX13" s="55">
        <f t="shared" si="1"/>
        <v>72</v>
      </c>
      <c r="BY13" s="58">
        <v>45</v>
      </c>
      <c r="CA13" s="44">
        <v>41</v>
      </c>
      <c r="CB13" s="44">
        <f>VLOOKUP(C10,BK194:BW212,AQ19,FALSE)</f>
        <v>1.03</v>
      </c>
    </row>
    <row r="14" spans="1:80" ht="18.75" x14ac:dyDescent="0.3">
      <c r="B14" s="73" t="s">
        <v>51</v>
      </c>
      <c r="C14" s="80" t="str">
        <f>VLOOKUP(AN8,AO4:AP16,2)</f>
        <v>Julio</v>
      </c>
      <c r="D14" s="81">
        <f>0.2778*AN19*AN21</f>
        <v>7.5656052000000003</v>
      </c>
      <c r="F14" s="73" t="s">
        <v>103</v>
      </c>
      <c r="G14" s="74"/>
      <c r="H14" s="82">
        <f>AVERAGE(AQ41,AQ42,AQ43,AQ44,AQ45,AQ46,AQ47,AQ48,AQ49,AQ50,AQ51,AQ52)</f>
        <v>6.2831878000000003</v>
      </c>
      <c r="I14" s="75"/>
      <c r="K14" s="1"/>
      <c r="L14" s="1" t="s">
        <v>259</v>
      </c>
      <c r="M14" s="1"/>
      <c r="N14" s="1"/>
      <c r="O14" s="1"/>
      <c r="P14" s="1"/>
      <c r="Q14" s="1"/>
      <c r="R14" s="1"/>
      <c r="S14" s="1"/>
      <c r="T14" s="1"/>
      <c r="U14" s="1"/>
      <c r="AO14" s="44">
        <v>11</v>
      </c>
      <c r="AP14" s="44" t="s">
        <v>41</v>
      </c>
      <c r="AQ14" s="45">
        <f>VLOOKUP(AN6,AR4:BF55,13,FALSE)</f>
        <v>8.4</v>
      </c>
      <c r="AR14" s="44">
        <v>11</v>
      </c>
      <c r="AS14" s="68" t="s">
        <v>54</v>
      </c>
      <c r="AT14" s="69">
        <v>6.8</v>
      </c>
      <c r="AU14" s="70">
        <v>10</v>
      </c>
      <c r="AV14" s="70">
        <v>14.7</v>
      </c>
      <c r="AW14" s="70">
        <v>19.600000000000001</v>
      </c>
      <c r="AX14" s="70">
        <v>22.1</v>
      </c>
      <c r="AY14" s="70">
        <v>25.1</v>
      </c>
      <c r="AZ14" s="70">
        <v>28.1</v>
      </c>
      <c r="BA14" s="70">
        <v>25.4</v>
      </c>
      <c r="BB14" s="70">
        <v>19.7</v>
      </c>
      <c r="BC14" s="70">
        <v>12.7</v>
      </c>
      <c r="BD14" s="70">
        <v>8.9</v>
      </c>
      <c r="BE14" s="70">
        <v>6.6</v>
      </c>
      <c r="BF14" s="70">
        <v>16.600000000000001</v>
      </c>
      <c r="BG14" s="78">
        <v>39</v>
      </c>
      <c r="BH14" s="63">
        <v>11</v>
      </c>
      <c r="BI14" s="55">
        <f t="shared" si="0"/>
        <v>77</v>
      </c>
      <c r="BJ14" s="63">
        <v>27</v>
      </c>
      <c r="BK14" s="64">
        <v>50</v>
      </c>
      <c r="BL14" s="64">
        <v>1.21</v>
      </c>
      <c r="BM14" s="71">
        <v>1.1000000000000001</v>
      </c>
      <c r="BN14" s="71">
        <v>0.97</v>
      </c>
      <c r="BO14" s="71">
        <v>0.83</v>
      </c>
      <c r="BP14" s="71">
        <v>0.72</v>
      </c>
      <c r="BQ14" s="71">
        <v>0.68</v>
      </c>
      <c r="BR14" s="71">
        <v>0.72</v>
      </c>
      <c r="BS14" s="71">
        <v>0.83</v>
      </c>
      <c r="BT14" s="71">
        <v>0.99</v>
      </c>
      <c r="BU14" s="71">
        <v>1.1599999999999999</v>
      </c>
      <c r="BV14" s="56">
        <v>1.28</v>
      </c>
      <c r="BW14" s="56">
        <v>1.28</v>
      </c>
      <c r="BX14" s="55">
        <f t="shared" si="1"/>
        <v>77</v>
      </c>
      <c r="BY14" s="58">
        <v>50</v>
      </c>
      <c r="CA14" s="44">
        <v>42</v>
      </c>
      <c r="CB14" s="44">
        <f>VLOOKUP(C10,BK213:BW231,AQ19,FALSE)</f>
        <v>1.04</v>
      </c>
    </row>
    <row r="15" spans="1:80" x14ac:dyDescent="0.25">
      <c r="B15" s="83"/>
      <c r="C15" s="84"/>
      <c r="D15" s="85"/>
      <c r="F15" s="83"/>
      <c r="G15" s="84"/>
      <c r="H15" s="84"/>
      <c r="I15" s="85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AO15" s="44">
        <v>12</v>
      </c>
      <c r="AP15" s="44" t="s">
        <v>42</v>
      </c>
      <c r="AQ15" s="45">
        <f>VLOOKUP(AN6,AR4:BF55,14,FALSE)</f>
        <v>6.4</v>
      </c>
      <c r="AR15" s="44">
        <v>12</v>
      </c>
      <c r="AS15" s="68" t="s">
        <v>55</v>
      </c>
      <c r="AT15" s="69">
        <v>8.1</v>
      </c>
      <c r="AU15" s="70">
        <v>11.5</v>
      </c>
      <c r="AV15" s="70">
        <v>15.7</v>
      </c>
      <c r="AW15" s="70">
        <v>18.5</v>
      </c>
      <c r="AX15" s="70">
        <v>22.2</v>
      </c>
      <c r="AY15" s="70">
        <v>23.8</v>
      </c>
      <c r="AZ15" s="70">
        <v>25.9</v>
      </c>
      <c r="BA15" s="70">
        <v>23</v>
      </c>
      <c r="BB15" s="70">
        <v>18.100000000000001</v>
      </c>
      <c r="BC15" s="70">
        <v>14.2</v>
      </c>
      <c r="BD15" s="70">
        <v>10</v>
      </c>
      <c r="BE15" s="70">
        <v>7.4</v>
      </c>
      <c r="BF15" s="70">
        <v>16.5</v>
      </c>
      <c r="BG15" s="78">
        <v>37</v>
      </c>
      <c r="BH15" s="63">
        <v>12</v>
      </c>
      <c r="BI15" s="55">
        <f t="shared" si="0"/>
        <v>82</v>
      </c>
      <c r="BJ15" s="63">
        <v>27</v>
      </c>
      <c r="BK15" s="64">
        <v>55</v>
      </c>
      <c r="BL15" s="64">
        <v>1.19</v>
      </c>
      <c r="BM15" s="71">
        <v>1.07</v>
      </c>
      <c r="BN15" s="71">
        <v>0.93</v>
      </c>
      <c r="BO15" s="71">
        <v>0.78</v>
      </c>
      <c r="BP15" s="71">
        <v>0.66</v>
      </c>
      <c r="BQ15" s="71">
        <v>0.62</v>
      </c>
      <c r="BR15" s="71">
        <v>0.66</v>
      </c>
      <c r="BS15" s="71">
        <v>0.78</v>
      </c>
      <c r="BT15" s="71">
        <v>0.95</v>
      </c>
      <c r="BU15" s="71">
        <v>1.1299999999999999</v>
      </c>
      <c r="BV15" s="56">
        <v>1.26</v>
      </c>
      <c r="BW15" s="56">
        <v>1.27</v>
      </c>
      <c r="BX15" s="55">
        <f t="shared" si="1"/>
        <v>82</v>
      </c>
      <c r="BY15" s="58">
        <v>55</v>
      </c>
      <c r="CA15" s="44">
        <v>43</v>
      </c>
      <c r="CB15" s="44">
        <f>VLOOKUP(C10,BK232:BW250,AQ19,FALSE)</f>
        <v>1.04</v>
      </c>
    </row>
    <row r="16" spans="1:80" x14ac:dyDescent="0.25">
      <c r="AO16" s="44">
        <v>13</v>
      </c>
      <c r="AP16" s="44" t="s">
        <v>43</v>
      </c>
      <c r="AQ16" s="45">
        <f>VLOOKUP(AN6,AR4:BF55,15,FALSE)</f>
        <v>16.100000000000001</v>
      </c>
      <c r="AR16" s="44">
        <v>13</v>
      </c>
      <c r="AS16" s="68" t="s">
        <v>56</v>
      </c>
      <c r="AT16" s="69">
        <v>5</v>
      </c>
      <c r="AU16" s="70">
        <v>7.4</v>
      </c>
      <c r="AV16" s="70">
        <v>11</v>
      </c>
      <c r="AW16" s="70">
        <v>13</v>
      </c>
      <c r="AX16" s="70">
        <v>16.100000000000001</v>
      </c>
      <c r="AY16" s="70">
        <v>17</v>
      </c>
      <c r="AZ16" s="70">
        <v>18.399999999999999</v>
      </c>
      <c r="BA16" s="70">
        <v>15.5</v>
      </c>
      <c r="BB16" s="70">
        <v>13</v>
      </c>
      <c r="BC16" s="70">
        <v>9.5</v>
      </c>
      <c r="BD16" s="70">
        <v>5.8</v>
      </c>
      <c r="BE16" s="70">
        <v>4.5</v>
      </c>
      <c r="BF16" s="70">
        <v>11.3</v>
      </c>
      <c r="BG16" s="78">
        <v>43</v>
      </c>
      <c r="BH16" s="63">
        <v>13</v>
      </c>
      <c r="BI16" s="55">
        <f t="shared" si="0"/>
        <v>87</v>
      </c>
      <c r="BJ16" s="63">
        <v>27</v>
      </c>
      <c r="BK16" s="64">
        <v>60</v>
      </c>
      <c r="BL16" s="64">
        <v>1.1599999999999999</v>
      </c>
      <c r="BM16" s="71">
        <v>1.04</v>
      </c>
      <c r="BN16" s="71">
        <v>0.88</v>
      </c>
      <c r="BO16" s="71">
        <v>0.72</v>
      </c>
      <c r="BP16" s="71">
        <v>0.6</v>
      </c>
      <c r="BQ16" s="71">
        <v>0.55000000000000004</v>
      </c>
      <c r="BR16" s="71">
        <v>0.6</v>
      </c>
      <c r="BS16" s="71">
        <v>0.72</v>
      </c>
      <c r="BT16" s="71">
        <v>0.9</v>
      </c>
      <c r="BU16" s="71">
        <v>1.1000000000000001</v>
      </c>
      <c r="BV16" s="56">
        <v>1.24</v>
      </c>
      <c r="BW16" s="56">
        <v>1.24</v>
      </c>
      <c r="BX16" s="55">
        <f t="shared" si="1"/>
        <v>87</v>
      </c>
      <c r="BY16" s="58">
        <v>60</v>
      </c>
    </row>
    <row r="17" spans="2:77" x14ac:dyDescent="0.25">
      <c r="AR17" s="44">
        <v>14</v>
      </c>
      <c r="AS17" s="68" t="s">
        <v>57</v>
      </c>
      <c r="AT17" s="69">
        <v>8</v>
      </c>
      <c r="AU17" s="70">
        <v>12.2</v>
      </c>
      <c r="AV17" s="70">
        <v>15.5</v>
      </c>
      <c r="AW17" s="70">
        <v>17.399999999999999</v>
      </c>
      <c r="AX17" s="70">
        <v>20.6</v>
      </c>
      <c r="AY17" s="70">
        <v>21.4</v>
      </c>
      <c r="AZ17" s="70">
        <v>23.9</v>
      </c>
      <c r="BA17" s="70">
        <v>19.5</v>
      </c>
      <c r="BB17" s="70">
        <v>16.600000000000001</v>
      </c>
      <c r="BC17" s="70">
        <v>13.1</v>
      </c>
      <c r="BD17" s="70">
        <v>8.6</v>
      </c>
      <c r="BE17" s="70">
        <v>7.3</v>
      </c>
      <c r="BF17" s="70">
        <v>15.3</v>
      </c>
      <c r="BG17" s="78">
        <v>40.1</v>
      </c>
      <c r="BH17" s="63">
        <v>14</v>
      </c>
      <c r="BI17" s="55">
        <f t="shared" si="0"/>
        <v>92</v>
      </c>
      <c r="BJ17" s="63">
        <v>27</v>
      </c>
      <c r="BK17" s="64">
        <v>65</v>
      </c>
      <c r="BL17" s="64">
        <v>1.1299999999999999</v>
      </c>
      <c r="BM17" s="71">
        <v>1</v>
      </c>
      <c r="BN17" s="71">
        <v>0.83</v>
      </c>
      <c r="BO17" s="71">
        <v>0.66</v>
      </c>
      <c r="BP17" s="71">
        <v>0.53</v>
      </c>
      <c r="BQ17" s="71">
        <v>0.48</v>
      </c>
      <c r="BR17" s="71">
        <v>0.53</v>
      </c>
      <c r="BS17" s="71">
        <v>0.66</v>
      </c>
      <c r="BT17" s="71">
        <v>0.85</v>
      </c>
      <c r="BU17" s="71">
        <v>1.06</v>
      </c>
      <c r="BV17" s="56">
        <v>1.2</v>
      </c>
      <c r="BW17" s="56">
        <v>1.21</v>
      </c>
      <c r="BX17" s="55">
        <f t="shared" si="1"/>
        <v>92</v>
      </c>
      <c r="BY17" s="58">
        <v>65</v>
      </c>
    </row>
    <row r="18" spans="2:77" x14ac:dyDescent="0.25">
      <c r="AP18" s="44" t="s">
        <v>30</v>
      </c>
      <c r="AQ18" s="45" t="s">
        <v>49</v>
      </c>
      <c r="AR18" s="44">
        <v>15</v>
      </c>
      <c r="AS18" s="68" t="s">
        <v>15</v>
      </c>
      <c r="AT18" s="69">
        <v>8.9</v>
      </c>
      <c r="AU18" s="70">
        <v>13.1</v>
      </c>
      <c r="AV18" s="70">
        <v>18.600000000000001</v>
      </c>
      <c r="AW18" s="70">
        <v>21</v>
      </c>
      <c r="AX18" s="70">
        <v>24.3</v>
      </c>
      <c r="AY18" s="70">
        <v>26.7</v>
      </c>
      <c r="AZ18" s="70">
        <v>26.8</v>
      </c>
      <c r="BA18" s="70">
        <v>24.3</v>
      </c>
      <c r="BB18" s="70">
        <v>19.100000000000001</v>
      </c>
      <c r="BC18" s="70">
        <v>14.2</v>
      </c>
      <c r="BD18" s="70">
        <v>11</v>
      </c>
      <c r="BE18" s="70">
        <v>8.6</v>
      </c>
      <c r="BF18" s="70">
        <v>18.100000000000001</v>
      </c>
      <c r="BG18" s="78">
        <v>35.200000000000003</v>
      </c>
      <c r="BH18" s="63">
        <v>15</v>
      </c>
      <c r="BI18" s="55">
        <f t="shared" si="0"/>
        <v>97</v>
      </c>
      <c r="BJ18" s="63">
        <v>27</v>
      </c>
      <c r="BK18" s="64">
        <v>70</v>
      </c>
      <c r="BL18" s="64">
        <v>1.0900000000000001</v>
      </c>
      <c r="BM18" s="71">
        <v>0.95</v>
      </c>
      <c r="BN18" s="71">
        <v>0.78</v>
      </c>
      <c r="BO18" s="71">
        <v>0.6</v>
      </c>
      <c r="BP18" s="71">
        <v>0.46</v>
      </c>
      <c r="BQ18" s="71">
        <v>0.41</v>
      </c>
      <c r="BR18" s="71">
        <v>0.45</v>
      </c>
      <c r="BS18" s="71">
        <v>0.59</v>
      </c>
      <c r="BT18" s="71">
        <v>0.75</v>
      </c>
      <c r="BU18" s="71">
        <v>1.01</v>
      </c>
      <c r="BV18" s="56">
        <v>1.1599999999999999</v>
      </c>
      <c r="BW18" s="56">
        <v>1.17</v>
      </c>
      <c r="BX18" s="55">
        <f t="shared" si="1"/>
        <v>97</v>
      </c>
      <c r="BY18" s="58">
        <v>70</v>
      </c>
    </row>
    <row r="19" spans="2:77" x14ac:dyDescent="0.25">
      <c r="AM19" s="44" t="s">
        <v>16</v>
      </c>
      <c r="AN19" s="44">
        <f>VLOOKUP(AN8,AO4:AQ16,3,FALSE)</f>
        <v>26.7</v>
      </c>
      <c r="AP19" s="44">
        <f>AN8</f>
        <v>7</v>
      </c>
      <c r="AQ19" s="45">
        <f>AP19+1</f>
        <v>8</v>
      </c>
      <c r="AR19" s="44">
        <v>16</v>
      </c>
      <c r="AS19" s="68" t="s">
        <v>58</v>
      </c>
      <c r="AT19" s="69">
        <v>7</v>
      </c>
      <c r="AU19" s="70">
        <v>10.1</v>
      </c>
      <c r="AV19" s="70">
        <v>15</v>
      </c>
      <c r="AW19" s="70">
        <v>18.7</v>
      </c>
      <c r="AX19" s="70">
        <v>21.4</v>
      </c>
      <c r="AY19" s="70">
        <v>23.7</v>
      </c>
      <c r="AZ19" s="70">
        <v>25.3</v>
      </c>
      <c r="BA19" s="70">
        <v>23.2</v>
      </c>
      <c r="BB19" s="70">
        <v>18.8</v>
      </c>
      <c r="BC19" s="70">
        <v>12.5</v>
      </c>
      <c r="BD19" s="70">
        <v>8.6999999999999993</v>
      </c>
      <c r="BE19" s="70">
        <v>6.5</v>
      </c>
      <c r="BF19" s="70">
        <v>15.9</v>
      </c>
      <c r="BG19" s="78">
        <v>39</v>
      </c>
      <c r="BH19" s="63">
        <v>16</v>
      </c>
      <c r="BI19" s="55">
        <f t="shared" si="0"/>
        <v>102</v>
      </c>
      <c r="BJ19" s="63">
        <v>27</v>
      </c>
      <c r="BK19" s="64">
        <v>75</v>
      </c>
      <c r="BL19" s="64">
        <v>1.04</v>
      </c>
      <c r="BM19" s="71">
        <v>0.9</v>
      </c>
      <c r="BN19" s="71">
        <v>0.71</v>
      </c>
      <c r="BO19" s="71">
        <v>0.53</v>
      </c>
      <c r="BP19" s="71">
        <v>0.39</v>
      </c>
      <c r="BQ19" s="71">
        <v>0.33</v>
      </c>
      <c r="BR19" s="71">
        <v>0.38</v>
      </c>
      <c r="BS19" s="71">
        <v>0.52</v>
      </c>
      <c r="BT19" s="71">
        <v>0.73</v>
      </c>
      <c r="BU19" s="71">
        <v>0.95</v>
      </c>
      <c r="BV19" s="56">
        <v>1.1100000000000001</v>
      </c>
      <c r="BW19" s="56">
        <v>1.1299999999999999</v>
      </c>
      <c r="BX19" s="55">
        <f t="shared" si="1"/>
        <v>102</v>
      </c>
      <c r="BY19" s="58">
        <v>75</v>
      </c>
    </row>
    <row r="20" spans="2:77" ht="26.25" x14ac:dyDescent="0.4">
      <c r="B20" s="86" t="s">
        <v>106</v>
      </c>
      <c r="C20" s="86"/>
      <c r="D20" s="86"/>
      <c r="E20" s="86"/>
      <c r="F20" s="87">
        <f>IF(AL25=1,D14,H14)</f>
        <v>7.5656052000000003</v>
      </c>
      <c r="H20" s="59"/>
      <c r="AM20" s="44" t="s">
        <v>19</v>
      </c>
      <c r="AN20" s="44">
        <f>VLOOKUP(AN6,AR4:BG55,16,FALSE)</f>
        <v>39</v>
      </c>
      <c r="AR20" s="44">
        <v>17</v>
      </c>
      <c r="AS20" s="68" t="s">
        <v>59</v>
      </c>
      <c r="AT20" s="69">
        <v>7.2</v>
      </c>
      <c r="AU20" s="70">
        <v>10.1</v>
      </c>
      <c r="AV20" s="70">
        <v>15.1</v>
      </c>
      <c r="AW20" s="70">
        <v>18.5</v>
      </c>
      <c r="AX20" s="70">
        <v>21.8</v>
      </c>
      <c r="AY20" s="70">
        <v>25.9</v>
      </c>
      <c r="AZ20" s="70">
        <v>28.5</v>
      </c>
      <c r="BA20" s="70">
        <v>25.1</v>
      </c>
      <c r="BB20" s="70">
        <v>19.899999999999999</v>
      </c>
      <c r="BC20" s="70">
        <v>12.6</v>
      </c>
      <c r="BD20" s="70">
        <v>8.6</v>
      </c>
      <c r="BE20" s="70">
        <v>6.9</v>
      </c>
      <c r="BF20" s="70">
        <v>16.7</v>
      </c>
      <c r="BG20" s="78">
        <v>38</v>
      </c>
      <c r="BH20" s="63">
        <v>17</v>
      </c>
      <c r="BI20" s="55">
        <f t="shared" si="0"/>
        <v>107</v>
      </c>
      <c r="BJ20" s="63">
        <v>27</v>
      </c>
      <c r="BK20" s="64">
        <v>80</v>
      </c>
      <c r="BL20" s="64">
        <v>0.98</v>
      </c>
      <c r="BM20" s="71">
        <v>0.84</v>
      </c>
      <c r="BN20" s="71">
        <v>0.65</v>
      </c>
      <c r="BO20" s="71">
        <v>0.45</v>
      </c>
      <c r="BP20" s="71">
        <v>0.31</v>
      </c>
      <c r="BQ20" s="71">
        <v>0.26</v>
      </c>
      <c r="BR20" s="71">
        <v>0.3</v>
      </c>
      <c r="BS20" s="71">
        <v>0.45</v>
      </c>
      <c r="BT20" s="71">
        <v>0.66</v>
      </c>
      <c r="BU20" s="71">
        <v>0.85</v>
      </c>
      <c r="BV20" s="56">
        <v>1.06</v>
      </c>
      <c r="BW20" s="56">
        <v>1.08</v>
      </c>
      <c r="BX20" s="55">
        <f t="shared" si="1"/>
        <v>107</v>
      </c>
      <c r="BY20" s="58">
        <v>80</v>
      </c>
    </row>
    <row r="21" spans="2:77" x14ac:dyDescent="0.25">
      <c r="AM21" s="44" t="s">
        <v>44</v>
      </c>
      <c r="AN21" s="44">
        <f>VLOOKUP(AN20,CA3:CB15,2,FALSE)</f>
        <v>1.02</v>
      </c>
      <c r="AR21" s="44">
        <v>18</v>
      </c>
      <c r="AS21" s="68" t="s">
        <v>60</v>
      </c>
      <c r="AT21" s="69">
        <v>5.4</v>
      </c>
      <c r="AU21" s="70">
        <v>8</v>
      </c>
      <c r="AV21" s="70">
        <v>11.4</v>
      </c>
      <c r="AW21" s="70">
        <v>12.4</v>
      </c>
      <c r="AX21" s="70">
        <v>15.4</v>
      </c>
      <c r="AY21" s="70">
        <v>16.2</v>
      </c>
      <c r="AZ21" s="70">
        <v>17.399999999999999</v>
      </c>
      <c r="BA21" s="70">
        <v>15.3</v>
      </c>
      <c r="BB21" s="70">
        <v>13.9</v>
      </c>
      <c r="BC21" s="70">
        <v>10.9</v>
      </c>
      <c r="BD21" s="70">
        <v>6.4</v>
      </c>
      <c r="BE21" s="70">
        <v>5.0999999999999996</v>
      </c>
      <c r="BF21" s="70">
        <v>11.5</v>
      </c>
      <c r="BG21" s="78">
        <v>43</v>
      </c>
      <c r="BH21" s="63">
        <v>18</v>
      </c>
      <c r="BI21" s="55">
        <f t="shared" si="0"/>
        <v>112</v>
      </c>
      <c r="BJ21" s="63">
        <v>27</v>
      </c>
      <c r="BK21" s="64">
        <v>85</v>
      </c>
      <c r="BL21" s="64">
        <v>0.93</v>
      </c>
      <c r="BM21" s="71">
        <v>0.78</v>
      </c>
      <c r="BN21" s="71">
        <v>0.57999999999999996</v>
      </c>
      <c r="BO21" s="71">
        <v>0.38</v>
      </c>
      <c r="BP21" s="71">
        <v>0.23</v>
      </c>
      <c r="BQ21" s="71">
        <v>0.18</v>
      </c>
      <c r="BR21" s="71">
        <v>0.22</v>
      </c>
      <c r="BS21" s="71">
        <v>0.37</v>
      </c>
      <c r="BT21" s="71">
        <v>0.57999999999999996</v>
      </c>
      <c r="BU21" s="71">
        <v>0.82</v>
      </c>
      <c r="BV21" s="56">
        <v>1</v>
      </c>
      <c r="BW21" s="56">
        <v>1.02</v>
      </c>
      <c r="BX21" s="55">
        <f t="shared" si="1"/>
        <v>112</v>
      </c>
      <c r="BY21" s="58">
        <v>85</v>
      </c>
    </row>
    <row r="22" spans="2:77" x14ac:dyDescent="0.25">
      <c r="B22" s="88"/>
      <c r="AR22" s="44">
        <v>19</v>
      </c>
      <c r="AS22" s="68" t="s">
        <v>61</v>
      </c>
      <c r="AT22" s="69">
        <v>5.9</v>
      </c>
      <c r="AU22" s="70">
        <v>8.8000000000000007</v>
      </c>
      <c r="AV22" s="70">
        <v>12.9</v>
      </c>
      <c r="AW22" s="70">
        <v>17.399999999999999</v>
      </c>
      <c r="AX22" s="70">
        <v>18.7</v>
      </c>
      <c r="AY22" s="70">
        <v>22</v>
      </c>
      <c r="AZ22" s="70">
        <v>25.6</v>
      </c>
      <c r="BA22" s="70">
        <v>22.3</v>
      </c>
      <c r="BB22" s="70">
        <v>17.5</v>
      </c>
      <c r="BC22" s="70">
        <v>11.2</v>
      </c>
      <c r="BD22" s="70">
        <v>7.2</v>
      </c>
      <c r="BE22" s="70">
        <v>5.5</v>
      </c>
      <c r="BF22" s="70">
        <v>14.6</v>
      </c>
      <c r="BG22" s="78">
        <v>40.1</v>
      </c>
      <c r="BH22" s="63">
        <v>19</v>
      </c>
      <c r="BI22" s="55">
        <f t="shared" si="0"/>
        <v>117</v>
      </c>
      <c r="BJ22" s="63">
        <v>27</v>
      </c>
      <c r="BK22" s="64">
        <v>90</v>
      </c>
      <c r="BL22" s="64">
        <v>0.86</v>
      </c>
      <c r="BM22" s="71">
        <v>0.71</v>
      </c>
      <c r="BN22" s="71">
        <v>0.51</v>
      </c>
      <c r="BO22" s="71">
        <v>0.3</v>
      </c>
      <c r="BP22" s="71">
        <v>0.15</v>
      </c>
      <c r="BQ22" s="71">
        <v>0.1</v>
      </c>
      <c r="BR22" s="71">
        <v>0.14000000000000001</v>
      </c>
      <c r="BS22" s="71">
        <v>0.28999999999999998</v>
      </c>
      <c r="BT22" s="71">
        <v>0.51</v>
      </c>
      <c r="BU22" s="71">
        <v>0.75</v>
      </c>
      <c r="BV22" s="56">
        <v>0.93</v>
      </c>
      <c r="BW22" s="56">
        <v>0.95</v>
      </c>
      <c r="BX22" s="55">
        <f t="shared" si="1"/>
        <v>117</v>
      </c>
      <c r="BY22" s="58">
        <v>90</v>
      </c>
    </row>
    <row r="23" spans="2:77" ht="26.25" x14ac:dyDescent="0.4">
      <c r="B23" s="86" t="s">
        <v>130</v>
      </c>
      <c r="C23" s="86"/>
      <c r="D23" s="86"/>
      <c r="AR23" s="44">
        <v>20</v>
      </c>
      <c r="AS23" s="68" t="s">
        <v>62</v>
      </c>
      <c r="AT23" s="69">
        <v>7.1</v>
      </c>
      <c r="AU23" s="70">
        <v>10.5</v>
      </c>
      <c r="AV23" s="70">
        <v>14.2</v>
      </c>
      <c r="AW23" s="70">
        <v>15.9</v>
      </c>
      <c r="AX23" s="70">
        <v>18.7</v>
      </c>
      <c r="AY23" s="70">
        <v>19</v>
      </c>
      <c r="AZ23" s="70">
        <v>22.3</v>
      </c>
      <c r="BA23" s="70">
        <v>28.5</v>
      </c>
      <c r="BB23" s="70">
        <v>14.9</v>
      </c>
      <c r="BC23" s="70">
        <v>11.7</v>
      </c>
      <c r="BD23" s="70">
        <v>7.8</v>
      </c>
      <c r="BE23" s="70">
        <v>6.6</v>
      </c>
      <c r="BF23" s="70">
        <v>13.9</v>
      </c>
      <c r="BG23" s="78">
        <v>42</v>
      </c>
      <c r="BH23" s="63">
        <v>20</v>
      </c>
      <c r="BI23" s="55">
        <f t="shared" si="0"/>
        <v>28</v>
      </c>
      <c r="BJ23" s="78">
        <v>28</v>
      </c>
      <c r="BK23" s="64">
        <v>0</v>
      </c>
      <c r="BL23" s="56">
        <v>1</v>
      </c>
      <c r="BM23" s="57">
        <v>1</v>
      </c>
      <c r="BN23" s="57">
        <v>1</v>
      </c>
      <c r="BO23" s="57">
        <v>1</v>
      </c>
      <c r="BP23" s="57">
        <v>1</v>
      </c>
      <c r="BQ23" s="57">
        <v>1</v>
      </c>
      <c r="BR23" s="57">
        <v>1</v>
      </c>
      <c r="BS23" s="56">
        <v>1</v>
      </c>
      <c r="BT23" s="57">
        <v>1</v>
      </c>
      <c r="BU23" s="57">
        <v>1</v>
      </c>
      <c r="BV23" s="57">
        <v>1</v>
      </c>
      <c r="BW23" s="57">
        <v>1</v>
      </c>
      <c r="BX23" s="55">
        <f t="shared" si="1"/>
        <v>28</v>
      </c>
      <c r="BY23" s="58">
        <v>0</v>
      </c>
    </row>
    <row r="24" spans="2:77" x14ac:dyDescent="0.25">
      <c r="AR24" s="44">
        <v>21</v>
      </c>
      <c r="AS24" s="68" t="s">
        <v>63</v>
      </c>
      <c r="AT24" s="69">
        <v>7.8</v>
      </c>
      <c r="AU24" s="70">
        <v>10.8</v>
      </c>
      <c r="AV24" s="70">
        <v>15.2</v>
      </c>
      <c r="AW24" s="70">
        <v>18.5</v>
      </c>
      <c r="AX24" s="70">
        <v>21.9</v>
      </c>
      <c r="AY24" s="70">
        <v>24.8</v>
      </c>
      <c r="AZ24" s="70">
        <v>26.7</v>
      </c>
      <c r="BA24" s="70">
        <v>23.6</v>
      </c>
      <c r="BB24" s="70">
        <v>18.8</v>
      </c>
      <c r="BC24" s="70">
        <v>12.9</v>
      </c>
      <c r="BD24" s="70">
        <v>9.6</v>
      </c>
      <c r="BE24" s="70">
        <v>7.1</v>
      </c>
      <c r="BF24" s="70">
        <v>16.5</v>
      </c>
      <c r="BG24" s="78">
        <v>37</v>
      </c>
      <c r="BH24" s="63">
        <v>21</v>
      </c>
      <c r="BI24" s="55">
        <f t="shared" si="0"/>
        <v>33</v>
      </c>
      <c r="BJ24" s="78">
        <v>28</v>
      </c>
      <c r="BK24" s="64">
        <v>5</v>
      </c>
      <c r="BL24" s="64">
        <v>1.05</v>
      </c>
      <c r="BM24" s="71">
        <v>1.04</v>
      </c>
      <c r="BN24" s="71">
        <v>1.03</v>
      </c>
      <c r="BO24" s="71">
        <v>1.01</v>
      </c>
      <c r="BP24" s="71">
        <v>1</v>
      </c>
      <c r="BQ24" s="71">
        <v>1</v>
      </c>
      <c r="BR24" s="71">
        <v>1</v>
      </c>
      <c r="BS24" s="64">
        <v>1.02</v>
      </c>
      <c r="BT24" s="71">
        <v>1.03</v>
      </c>
      <c r="BU24" s="71">
        <v>1.05</v>
      </c>
      <c r="BV24" s="71">
        <v>1.06</v>
      </c>
      <c r="BW24" s="71">
        <v>1.06</v>
      </c>
      <c r="BX24" s="55">
        <f t="shared" si="1"/>
        <v>33</v>
      </c>
      <c r="BY24" s="58">
        <v>5</v>
      </c>
    </row>
    <row r="25" spans="2:77" x14ac:dyDescent="0.25">
      <c r="AL25" s="44">
        <v>1</v>
      </c>
      <c r="AM25" s="89" t="s">
        <v>127</v>
      </c>
      <c r="AN25" s="89" t="s">
        <v>128</v>
      </c>
      <c r="AO25" s="89" t="s">
        <v>95</v>
      </c>
      <c r="AP25" s="89" t="s">
        <v>96</v>
      </c>
      <c r="AQ25" s="90" t="s">
        <v>129</v>
      </c>
      <c r="AR25" s="44">
        <v>22</v>
      </c>
      <c r="AS25" s="68" t="s">
        <v>64</v>
      </c>
      <c r="AT25" s="69">
        <v>6.5</v>
      </c>
      <c r="AU25" s="70">
        <v>9.1999999999999993</v>
      </c>
      <c r="AV25" s="70">
        <v>14</v>
      </c>
      <c r="AW25" s="70">
        <v>17.899999999999999</v>
      </c>
      <c r="AX25" s="70">
        <v>19.399999999999999</v>
      </c>
      <c r="AY25" s="70">
        <v>22.7</v>
      </c>
      <c r="AZ25" s="70">
        <v>25</v>
      </c>
      <c r="BA25" s="70">
        <v>23.2</v>
      </c>
      <c r="BB25" s="70">
        <v>17.8</v>
      </c>
      <c r="BC25" s="70">
        <v>11.7</v>
      </c>
      <c r="BD25" s="70">
        <v>7.8</v>
      </c>
      <c r="BE25" s="70">
        <v>5.6</v>
      </c>
      <c r="BF25" s="70">
        <v>15.1</v>
      </c>
      <c r="BG25" s="78">
        <v>41</v>
      </c>
      <c r="BH25" s="63">
        <v>22</v>
      </c>
      <c r="BI25" s="55">
        <f t="shared" si="0"/>
        <v>38</v>
      </c>
      <c r="BJ25" s="78">
        <v>28</v>
      </c>
      <c r="BK25" s="64">
        <v>10</v>
      </c>
      <c r="BL25" s="64">
        <v>1.1000000000000001</v>
      </c>
      <c r="BM25" s="71">
        <v>1.08</v>
      </c>
      <c r="BN25" s="71">
        <v>1.05</v>
      </c>
      <c r="BO25" s="71">
        <v>1.02</v>
      </c>
      <c r="BP25" s="71">
        <v>1</v>
      </c>
      <c r="BQ25" s="71">
        <v>0.99</v>
      </c>
      <c r="BR25" s="71">
        <v>1</v>
      </c>
      <c r="BS25" s="64">
        <v>1.02</v>
      </c>
      <c r="BT25" s="71">
        <v>1.06</v>
      </c>
      <c r="BU25" s="71">
        <v>1.1000000000000001</v>
      </c>
      <c r="BV25" s="71">
        <v>1.1200000000000001</v>
      </c>
      <c r="BW25" s="71">
        <v>1.1200000000000001</v>
      </c>
      <c r="BX25" s="55">
        <f t="shared" si="1"/>
        <v>38</v>
      </c>
      <c r="BY25" s="58">
        <v>10</v>
      </c>
    </row>
    <row r="26" spans="2:77" ht="23.25" customHeight="1" x14ac:dyDescent="0.3">
      <c r="B26" s="91" t="str">
        <f>AN25</f>
        <v>HSP</v>
      </c>
      <c r="C26" s="91" t="str">
        <f>AO25</f>
        <v>H</v>
      </c>
      <c r="D26" s="91" t="str">
        <f>AP25</f>
        <v>K</v>
      </c>
      <c r="E26" s="91" t="str">
        <f>AQ25</f>
        <v>HSP corregida</v>
      </c>
      <c r="AM26" s="89">
        <v>4</v>
      </c>
      <c r="AN26" s="89" t="s">
        <v>31</v>
      </c>
      <c r="AO26" s="89">
        <f>AQ4</f>
        <v>6.7</v>
      </c>
      <c r="AP26" s="89">
        <f>VLOOKUP(AN20+C10,BI4:BW250,AM26,FALSE)</f>
        <v>1.24</v>
      </c>
      <c r="AQ26" s="90">
        <f>0.2778*AO26*AP26</f>
        <v>2.3079624000000001</v>
      </c>
      <c r="AR26" s="44">
        <v>23</v>
      </c>
      <c r="AS26" s="68" t="s">
        <v>65</v>
      </c>
      <c r="AT26" s="69">
        <v>5.5</v>
      </c>
      <c r="AU26" s="70">
        <v>7.7</v>
      </c>
      <c r="AV26" s="70">
        <v>14.3</v>
      </c>
      <c r="AW26" s="70">
        <v>11.7</v>
      </c>
      <c r="AX26" s="70">
        <v>14.6</v>
      </c>
      <c r="AY26" s="70">
        <v>16.2</v>
      </c>
      <c r="AZ26" s="70">
        <v>16.100000000000001</v>
      </c>
      <c r="BA26" s="70">
        <v>13.6</v>
      </c>
      <c r="BB26" s="70">
        <v>12.7</v>
      </c>
      <c r="BC26" s="70">
        <v>10.3</v>
      </c>
      <c r="BD26" s="70">
        <v>6.2</v>
      </c>
      <c r="BE26" s="70">
        <v>5</v>
      </c>
      <c r="BF26" s="70">
        <v>10.9</v>
      </c>
      <c r="BG26" s="78">
        <v>43</v>
      </c>
      <c r="BH26" s="63">
        <v>23</v>
      </c>
      <c r="BI26" s="55">
        <f t="shared" si="0"/>
        <v>43</v>
      </c>
      <c r="BJ26" s="78">
        <v>28</v>
      </c>
      <c r="BK26" s="64">
        <v>15</v>
      </c>
      <c r="BL26" s="64">
        <v>1.1399999999999999</v>
      </c>
      <c r="BM26" s="71">
        <v>1.1100000000000001</v>
      </c>
      <c r="BN26" s="71">
        <v>1.07</v>
      </c>
      <c r="BO26" s="71">
        <v>1.02</v>
      </c>
      <c r="BP26" s="71">
        <v>0.99</v>
      </c>
      <c r="BQ26" s="71">
        <v>0.98</v>
      </c>
      <c r="BR26" s="71">
        <v>0.99</v>
      </c>
      <c r="BS26" s="64">
        <v>1.03</v>
      </c>
      <c r="BT26" s="71">
        <v>1.08</v>
      </c>
      <c r="BU26" s="71">
        <v>1.1299999999999999</v>
      </c>
      <c r="BV26" s="71">
        <v>1.17</v>
      </c>
      <c r="BW26" s="71">
        <v>1.17</v>
      </c>
      <c r="BX26" s="55">
        <f t="shared" si="1"/>
        <v>43</v>
      </c>
      <c r="BY26" s="58">
        <v>15</v>
      </c>
    </row>
    <row r="27" spans="2:77" x14ac:dyDescent="0.25">
      <c r="B27" s="92" t="str">
        <f t="shared" ref="B27:B36" si="2">AN26</f>
        <v>Enero</v>
      </c>
      <c r="C27" s="92">
        <f t="shared" ref="C27:C37" si="3">AO26</f>
        <v>6.7</v>
      </c>
      <c r="D27" s="92">
        <f t="shared" ref="D27:D37" si="4">AP26</f>
        <v>1.24</v>
      </c>
      <c r="E27" s="93">
        <f>AQ26</f>
        <v>2.3079624000000001</v>
      </c>
      <c r="AM27" s="89">
        <v>5</v>
      </c>
      <c r="AN27" s="89" t="s">
        <v>32</v>
      </c>
      <c r="AO27" s="89">
        <f>AQ5</f>
        <v>10.5</v>
      </c>
      <c r="AP27" s="89">
        <f>VLOOKUP(AN20+C10,BI4:BW250,AM27,FALSE)</f>
        <v>1.17</v>
      </c>
      <c r="AQ27" s="90">
        <f>0.2778*AO27*AP27</f>
        <v>3.4127730000000001</v>
      </c>
      <c r="AR27" s="44">
        <v>24</v>
      </c>
      <c r="AS27" s="68" t="s">
        <v>66</v>
      </c>
      <c r="AT27" s="69">
        <v>7.6</v>
      </c>
      <c r="AU27" s="70">
        <v>11.3</v>
      </c>
      <c r="AV27" s="70">
        <v>16</v>
      </c>
      <c r="AW27" s="70">
        <v>19.5</v>
      </c>
      <c r="AX27" s="70">
        <v>24.1</v>
      </c>
      <c r="AY27" s="70">
        <v>25.6</v>
      </c>
      <c r="AZ27" s="70">
        <v>28.7</v>
      </c>
      <c r="BA27" s="70">
        <v>25.66</v>
      </c>
      <c r="BB27" s="70">
        <v>21.2</v>
      </c>
      <c r="BC27" s="70">
        <v>14.5</v>
      </c>
      <c r="BD27" s="70">
        <v>9.1999999999999993</v>
      </c>
      <c r="BE27" s="70">
        <v>7.5</v>
      </c>
      <c r="BF27" s="70">
        <v>17.600000000000001</v>
      </c>
      <c r="BG27" s="78">
        <v>37</v>
      </c>
      <c r="BH27" s="63">
        <v>24</v>
      </c>
      <c r="BI27" s="55">
        <f t="shared" si="0"/>
        <v>48</v>
      </c>
      <c r="BJ27" s="78">
        <v>28</v>
      </c>
      <c r="BK27" s="64">
        <v>20</v>
      </c>
      <c r="BL27" s="64">
        <v>1.17</v>
      </c>
      <c r="BM27" s="71">
        <v>1.1299999999999999</v>
      </c>
      <c r="BN27" s="71">
        <v>1.08</v>
      </c>
      <c r="BO27" s="71">
        <v>1.02</v>
      </c>
      <c r="BP27" s="71">
        <v>0.97</v>
      </c>
      <c r="BQ27" s="71">
        <v>0.95</v>
      </c>
      <c r="BR27" s="71">
        <v>0.97</v>
      </c>
      <c r="BS27" s="64">
        <v>1.02</v>
      </c>
      <c r="BT27" s="71">
        <v>1.0900000000000001</v>
      </c>
      <c r="BU27" s="71">
        <v>1.1599999999999999</v>
      </c>
      <c r="BV27" s="71">
        <v>1.21</v>
      </c>
      <c r="BW27" s="71">
        <v>1.21</v>
      </c>
      <c r="BX27" s="55">
        <f t="shared" si="1"/>
        <v>48</v>
      </c>
      <c r="BY27" s="58">
        <v>20</v>
      </c>
    </row>
    <row r="28" spans="2:77" x14ac:dyDescent="0.25">
      <c r="B28" s="92" t="str">
        <f t="shared" si="2"/>
        <v>Febrero</v>
      </c>
      <c r="C28" s="92">
        <f t="shared" si="3"/>
        <v>10.5</v>
      </c>
      <c r="D28" s="92">
        <f t="shared" si="4"/>
        <v>1.17</v>
      </c>
      <c r="E28" s="93">
        <f t="shared" ref="E28:E37" si="5">AQ27</f>
        <v>3.4127730000000001</v>
      </c>
      <c r="AM28" s="89">
        <v>6</v>
      </c>
      <c r="AN28" s="89" t="s">
        <v>33</v>
      </c>
      <c r="AO28" s="89">
        <f t="shared" ref="AO28:AO37" si="6">AQ6</f>
        <v>15</v>
      </c>
      <c r="AP28" s="89">
        <f>VLOOKUP(AN20+C10,BI4:BW250,AM28,FALSE)</f>
        <v>1.07</v>
      </c>
      <c r="AQ28" s="90">
        <f t="shared" ref="AQ28:AQ37" si="7">0.2778*AO28*AP28</f>
        <v>4.4586899999999998</v>
      </c>
      <c r="AR28" s="44">
        <v>25</v>
      </c>
      <c r="AS28" s="68" t="s">
        <v>67</v>
      </c>
      <c r="AT28" s="69">
        <v>6.1</v>
      </c>
      <c r="AU28" s="70">
        <v>9.6</v>
      </c>
      <c r="AV28" s="70">
        <v>14.3</v>
      </c>
      <c r="AW28" s="70">
        <v>18.7</v>
      </c>
      <c r="AX28" s="70">
        <v>20.3</v>
      </c>
      <c r="AY28" s="70">
        <v>22.1</v>
      </c>
      <c r="AZ28" s="70">
        <v>23.1</v>
      </c>
      <c r="BA28" s="70">
        <v>20.9</v>
      </c>
      <c r="BB28" s="70">
        <v>16.899999999999999</v>
      </c>
      <c r="BC28" s="70">
        <v>11.3</v>
      </c>
      <c r="BD28" s="70">
        <v>7.2</v>
      </c>
      <c r="BE28" s="70">
        <v>5.0999999999999996</v>
      </c>
      <c r="BF28" s="70">
        <v>14.6</v>
      </c>
      <c r="BG28" s="78">
        <v>42</v>
      </c>
      <c r="BH28" s="63">
        <v>25</v>
      </c>
      <c r="BI28" s="55">
        <f t="shared" si="0"/>
        <v>53</v>
      </c>
      <c r="BJ28" s="78">
        <v>28</v>
      </c>
      <c r="BK28" s="64">
        <v>25</v>
      </c>
      <c r="BL28" s="64">
        <v>1.2</v>
      </c>
      <c r="BM28" s="71">
        <v>1.1499999999999999</v>
      </c>
      <c r="BN28" s="71">
        <v>1.08</v>
      </c>
      <c r="BO28" s="71">
        <v>1</v>
      </c>
      <c r="BP28" s="71">
        <v>0.95</v>
      </c>
      <c r="BQ28" s="71">
        <v>0.93</v>
      </c>
      <c r="BR28" s="71">
        <v>0.95</v>
      </c>
      <c r="BS28" s="64">
        <v>1.01</v>
      </c>
      <c r="BT28" s="71">
        <v>1.0900000000000001</v>
      </c>
      <c r="BU28" s="71">
        <v>1.19</v>
      </c>
      <c r="BV28" s="71">
        <v>1.25</v>
      </c>
      <c r="BW28" s="71">
        <v>1.24</v>
      </c>
      <c r="BX28" s="55">
        <f t="shared" si="1"/>
        <v>53</v>
      </c>
      <c r="BY28" s="58">
        <v>25</v>
      </c>
    </row>
    <row r="29" spans="2:77" x14ac:dyDescent="0.25">
      <c r="B29" s="92" t="str">
        <f t="shared" si="2"/>
        <v>Marzo</v>
      </c>
      <c r="C29" s="92">
        <f t="shared" si="3"/>
        <v>15</v>
      </c>
      <c r="D29" s="92">
        <f t="shared" si="4"/>
        <v>1.07</v>
      </c>
      <c r="E29" s="93">
        <f t="shared" si="5"/>
        <v>4.4586899999999998</v>
      </c>
      <c r="AM29" s="89">
        <v>7</v>
      </c>
      <c r="AN29" s="89" t="s">
        <v>34</v>
      </c>
      <c r="AO29" s="89">
        <f t="shared" si="6"/>
        <v>19.2</v>
      </c>
      <c r="AP29" s="89">
        <f>VLOOKUP(AN20+C10,BI4:BW250,AM29,FALSE)</f>
        <v>0.97</v>
      </c>
      <c r="AQ29" s="90">
        <f t="shared" si="7"/>
        <v>5.1737471999999993</v>
      </c>
      <c r="AR29" s="44">
        <v>26</v>
      </c>
      <c r="AS29" s="68" t="s">
        <v>68</v>
      </c>
      <c r="AT29" s="69">
        <v>6.7</v>
      </c>
      <c r="AU29" s="70">
        <v>10.1</v>
      </c>
      <c r="AV29" s="70">
        <v>14.4</v>
      </c>
      <c r="AW29" s="70">
        <v>18</v>
      </c>
      <c r="AX29" s="70">
        <v>20.3</v>
      </c>
      <c r="AY29" s="70">
        <v>24.4</v>
      </c>
      <c r="AZ29" s="70">
        <v>26.7</v>
      </c>
      <c r="BA29" s="70">
        <v>24.1</v>
      </c>
      <c r="BB29" s="70">
        <v>19.2</v>
      </c>
      <c r="BC29" s="70">
        <v>11.9</v>
      </c>
      <c r="BD29" s="70">
        <v>8.1</v>
      </c>
      <c r="BE29" s="70">
        <v>6.5</v>
      </c>
      <c r="BF29" s="70">
        <v>15.9</v>
      </c>
      <c r="BG29" s="78">
        <v>38</v>
      </c>
      <c r="BH29" s="63">
        <v>26</v>
      </c>
      <c r="BI29" s="55">
        <f t="shared" si="0"/>
        <v>58</v>
      </c>
      <c r="BJ29" s="78">
        <v>28</v>
      </c>
      <c r="BK29" s="64">
        <v>30</v>
      </c>
      <c r="BL29" s="64">
        <v>1.22</v>
      </c>
      <c r="BM29" s="71">
        <v>1.1499999999999999</v>
      </c>
      <c r="BN29" s="71">
        <v>1.07</v>
      </c>
      <c r="BO29" s="71">
        <v>0.98</v>
      </c>
      <c r="BP29" s="71">
        <v>0.92</v>
      </c>
      <c r="BQ29" s="71">
        <v>0.89</v>
      </c>
      <c r="BR29" s="71">
        <v>0.92</v>
      </c>
      <c r="BS29" s="64">
        <v>0.99</v>
      </c>
      <c r="BT29" s="71">
        <v>1.0900000000000001</v>
      </c>
      <c r="BU29" s="71">
        <v>1.2</v>
      </c>
      <c r="BV29" s="71">
        <v>1.27</v>
      </c>
      <c r="BW29" s="71">
        <v>1.27</v>
      </c>
      <c r="BX29" s="55">
        <f t="shared" si="1"/>
        <v>58</v>
      </c>
      <c r="BY29" s="58">
        <v>30</v>
      </c>
    </row>
    <row r="30" spans="2:77" x14ac:dyDescent="0.25">
      <c r="B30" s="92" t="str">
        <f t="shared" si="2"/>
        <v>Abril</v>
      </c>
      <c r="C30" s="92">
        <f t="shared" si="3"/>
        <v>19.2</v>
      </c>
      <c r="D30" s="92">
        <f t="shared" si="4"/>
        <v>0.97</v>
      </c>
      <c r="E30" s="93">
        <f t="shared" si="5"/>
        <v>5.1737471999999993</v>
      </c>
      <c r="AM30" s="89">
        <v>8</v>
      </c>
      <c r="AN30" s="89" t="s">
        <v>35</v>
      </c>
      <c r="AO30" s="89">
        <f t="shared" si="6"/>
        <v>21.2</v>
      </c>
      <c r="AP30" s="89">
        <f>VLOOKUP(AN20+C10,BI4:BW250,AM30,FALSE)</f>
        <v>0.89</v>
      </c>
      <c r="AQ30" s="90">
        <f t="shared" si="7"/>
        <v>5.2415304000000003</v>
      </c>
      <c r="AR30" s="44">
        <v>27</v>
      </c>
      <c r="AS30" s="68" t="s">
        <v>69</v>
      </c>
      <c r="AT30" s="69">
        <v>5.8</v>
      </c>
      <c r="AU30" s="70">
        <v>8.6999999999999993</v>
      </c>
      <c r="AV30" s="70">
        <v>13.8</v>
      </c>
      <c r="AW30" s="70">
        <v>17.2</v>
      </c>
      <c r="AX30" s="70">
        <v>19.5</v>
      </c>
      <c r="AY30" s="70">
        <v>22.1</v>
      </c>
      <c r="AZ30" s="70">
        <v>24.2</v>
      </c>
      <c r="BA30" s="70">
        <v>20.9</v>
      </c>
      <c r="BB30" s="70">
        <v>17.2</v>
      </c>
      <c r="BC30" s="70">
        <v>10.4</v>
      </c>
      <c r="BD30" s="70">
        <v>7</v>
      </c>
      <c r="BE30" s="70">
        <v>4.8</v>
      </c>
      <c r="BF30" s="70">
        <v>14.3</v>
      </c>
      <c r="BG30" s="78">
        <v>43</v>
      </c>
      <c r="BH30" s="63">
        <v>27</v>
      </c>
      <c r="BI30" s="55">
        <f t="shared" si="0"/>
        <v>63</v>
      </c>
      <c r="BJ30" s="78">
        <v>28</v>
      </c>
      <c r="BK30" s="64">
        <v>35</v>
      </c>
      <c r="BL30" s="64">
        <v>1.23</v>
      </c>
      <c r="BM30" s="71">
        <v>1.1599999999999999</v>
      </c>
      <c r="BN30" s="71">
        <v>1.06</v>
      </c>
      <c r="BO30" s="71">
        <v>0.96</v>
      </c>
      <c r="BP30" s="71">
        <v>0.88</v>
      </c>
      <c r="BQ30" s="71">
        <v>0.85</v>
      </c>
      <c r="BR30" s="71">
        <v>0.88</v>
      </c>
      <c r="BS30" s="64">
        <v>0.96</v>
      </c>
      <c r="BT30" s="71">
        <v>1.08</v>
      </c>
      <c r="BU30" s="71">
        <v>1.21</v>
      </c>
      <c r="BV30" s="71">
        <v>1.29</v>
      </c>
      <c r="BW30" s="71">
        <v>1.29</v>
      </c>
      <c r="BX30" s="55">
        <f t="shared" si="1"/>
        <v>63</v>
      </c>
      <c r="BY30" s="58">
        <v>35</v>
      </c>
    </row>
    <row r="31" spans="2:77" x14ac:dyDescent="0.25">
      <c r="B31" s="92" t="str">
        <f t="shared" si="2"/>
        <v>Mayo</v>
      </c>
      <c r="C31" s="92">
        <f t="shared" si="3"/>
        <v>21.2</v>
      </c>
      <c r="D31" s="92">
        <f t="shared" si="4"/>
        <v>0.89</v>
      </c>
      <c r="E31" s="93">
        <f t="shared" si="5"/>
        <v>5.2415304000000003</v>
      </c>
      <c r="AM31" s="89">
        <v>9</v>
      </c>
      <c r="AN31" s="89" t="s">
        <v>36</v>
      </c>
      <c r="AO31" s="89">
        <f t="shared" si="6"/>
        <v>25.1</v>
      </c>
      <c r="AP31" s="89">
        <f>VLOOKUP(AN20+C10,BI4:BW250,AM31,FALSE)</f>
        <v>0.86</v>
      </c>
      <c r="AQ31" s="90">
        <f t="shared" si="7"/>
        <v>5.9965907999999999</v>
      </c>
      <c r="AR31" s="44">
        <v>28</v>
      </c>
      <c r="AS31" s="68" t="s">
        <v>70</v>
      </c>
      <c r="AT31" s="69">
        <v>6</v>
      </c>
      <c r="AU31" s="70">
        <v>9.9</v>
      </c>
      <c r="AV31" s="70">
        <v>18</v>
      </c>
      <c r="AW31" s="70">
        <v>18.8</v>
      </c>
      <c r="AX31" s="70">
        <v>20.9</v>
      </c>
      <c r="AY31" s="70">
        <v>22.6</v>
      </c>
      <c r="AZ31" s="70">
        <v>23.8</v>
      </c>
      <c r="BA31" s="70">
        <v>21.3</v>
      </c>
      <c r="BB31" s="70">
        <v>16.8</v>
      </c>
      <c r="BC31" s="70">
        <v>12.1</v>
      </c>
      <c r="BD31" s="70">
        <v>7.2</v>
      </c>
      <c r="BE31" s="70">
        <v>4.8</v>
      </c>
      <c r="BF31" s="70">
        <v>15.2</v>
      </c>
      <c r="BG31" s="78">
        <v>42</v>
      </c>
      <c r="BH31" s="63">
        <v>28</v>
      </c>
      <c r="BI31" s="55">
        <f t="shared" si="0"/>
        <v>68</v>
      </c>
      <c r="BJ31" s="78">
        <v>28</v>
      </c>
      <c r="BK31" s="64">
        <v>40</v>
      </c>
      <c r="BL31" s="64">
        <v>1.24</v>
      </c>
      <c r="BM31" s="71">
        <v>1.1499999999999999</v>
      </c>
      <c r="BN31" s="71">
        <v>1.04</v>
      </c>
      <c r="BO31" s="71">
        <v>0.92</v>
      </c>
      <c r="BP31" s="71">
        <v>0.84</v>
      </c>
      <c r="BQ31" s="71">
        <v>0.8</v>
      </c>
      <c r="BR31" s="71">
        <v>0.84</v>
      </c>
      <c r="BS31" s="64">
        <v>0.93</v>
      </c>
      <c r="BT31" s="71">
        <v>1.06</v>
      </c>
      <c r="BU31" s="71">
        <v>1.21</v>
      </c>
      <c r="BV31" s="71">
        <v>1.3</v>
      </c>
      <c r="BW31" s="71">
        <v>1.3</v>
      </c>
      <c r="BX31" s="55">
        <f t="shared" si="1"/>
        <v>68</v>
      </c>
      <c r="BY31" s="58">
        <v>40</v>
      </c>
    </row>
    <row r="32" spans="2:77" x14ac:dyDescent="0.25">
      <c r="B32" s="92" t="str">
        <f t="shared" si="2"/>
        <v>Junio</v>
      </c>
      <c r="C32" s="92">
        <f t="shared" si="3"/>
        <v>25.1</v>
      </c>
      <c r="D32" s="92">
        <f t="shared" si="4"/>
        <v>0.86</v>
      </c>
      <c r="E32" s="93">
        <f t="shared" si="5"/>
        <v>5.9965907999999999</v>
      </c>
      <c r="AM32" s="89">
        <v>10</v>
      </c>
      <c r="AN32" s="89" t="s">
        <v>37</v>
      </c>
      <c r="AO32" s="89">
        <f t="shared" si="6"/>
        <v>26.7</v>
      </c>
      <c r="AP32" s="89">
        <f>VLOOKUP(AN20+C10,BI4:BW250,AM32,FALSE)</f>
        <v>0.89</v>
      </c>
      <c r="AQ32" s="90">
        <f t="shared" si="7"/>
        <v>6.6013614</v>
      </c>
      <c r="AR32" s="44">
        <v>29</v>
      </c>
      <c r="AS32" s="68" t="s">
        <v>71</v>
      </c>
      <c r="AT32" s="69">
        <v>5.0999999999999996</v>
      </c>
      <c r="AU32" s="70">
        <v>7.6</v>
      </c>
      <c r="AV32" s="70">
        <v>11.7</v>
      </c>
      <c r="AW32" s="70">
        <v>15.2</v>
      </c>
      <c r="AX32" s="70">
        <v>14.1</v>
      </c>
      <c r="AY32" s="70">
        <v>19.5</v>
      </c>
      <c r="AZ32" s="70">
        <v>20.2</v>
      </c>
      <c r="BA32" s="70">
        <v>18.399999999999999</v>
      </c>
      <c r="BB32" s="70">
        <v>15</v>
      </c>
      <c r="BC32" s="70">
        <v>9.9</v>
      </c>
      <c r="BD32" s="70">
        <v>6.2</v>
      </c>
      <c r="BE32" s="70">
        <v>4.5</v>
      </c>
      <c r="BF32" s="70">
        <v>12.5</v>
      </c>
      <c r="BG32" s="78">
        <v>43</v>
      </c>
      <c r="BH32" s="63">
        <v>29</v>
      </c>
      <c r="BI32" s="55">
        <f t="shared" si="0"/>
        <v>73</v>
      </c>
      <c r="BJ32" s="78">
        <v>28</v>
      </c>
      <c r="BK32" s="64">
        <v>45</v>
      </c>
      <c r="BL32" s="64">
        <v>1.23</v>
      </c>
      <c r="BM32" s="71">
        <v>1.1399999999999999</v>
      </c>
      <c r="BN32" s="71">
        <v>1.01</v>
      </c>
      <c r="BO32" s="71">
        <v>0.89</v>
      </c>
      <c r="BP32" s="71">
        <v>0.79</v>
      </c>
      <c r="BQ32" s="71">
        <v>0.75</v>
      </c>
      <c r="BR32" s="71">
        <v>0.79</v>
      </c>
      <c r="BS32" s="64">
        <v>0.89</v>
      </c>
      <c r="BT32" s="71">
        <v>1.04</v>
      </c>
      <c r="BU32" s="71">
        <v>1.2</v>
      </c>
      <c r="BV32" s="71">
        <v>1.3</v>
      </c>
      <c r="BW32" s="71">
        <v>1.3</v>
      </c>
      <c r="BX32" s="55">
        <f t="shared" si="1"/>
        <v>73</v>
      </c>
      <c r="BY32" s="58">
        <v>45</v>
      </c>
    </row>
    <row r="33" spans="2:77" x14ac:dyDescent="0.25">
      <c r="B33" s="92" t="str">
        <f t="shared" si="2"/>
        <v>Julio</v>
      </c>
      <c r="C33" s="92">
        <f t="shared" si="3"/>
        <v>26.7</v>
      </c>
      <c r="D33" s="92">
        <f t="shared" si="4"/>
        <v>0.89</v>
      </c>
      <c r="E33" s="93">
        <f t="shared" si="5"/>
        <v>6.6013614</v>
      </c>
      <c r="AM33" s="89">
        <v>11</v>
      </c>
      <c r="AN33" s="89" t="s">
        <v>38</v>
      </c>
      <c r="AO33" s="89">
        <f t="shared" si="6"/>
        <v>23.2</v>
      </c>
      <c r="AP33" s="89">
        <f>VLOOKUP(AN20+C10,BI4:BW250,AM33,FALSE)</f>
        <v>0.97</v>
      </c>
      <c r="AQ33" s="90">
        <f t="shared" si="7"/>
        <v>6.2516112000000001</v>
      </c>
      <c r="AR33" s="44">
        <v>30</v>
      </c>
      <c r="AS33" s="68" t="s">
        <v>72</v>
      </c>
      <c r="AT33" s="69">
        <v>6.7</v>
      </c>
      <c r="AU33" s="70">
        <v>10.6</v>
      </c>
      <c r="AV33" s="70">
        <v>13.6</v>
      </c>
      <c r="AW33" s="70">
        <v>18.8</v>
      </c>
      <c r="AX33" s="70">
        <v>20.9</v>
      </c>
      <c r="AY33" s="70">
        <v>23.5</v>
      </c>
      <c r="AZ33" s="70">
        <v>26</v>
      </c>
      <c r="BA33" s="70">
        <v>23.1</v>
      </c>
      <c r="BB33" s="70">
        <v>16.899999999999999</v>
      </c>
      <c r="BC33" s="70">
        <v>11.4</v>
      </c>
      <c r="BD33" s="70">
        <v>7.5</v>
      </c>
      <c r="BE33" s="70">
        <v>5.9</v>
      </c>
      <c r="BF33" s="70">
        <v>15.4</v>
      </c>
      <c r="BG33" s="78">
        <v>40.1</v>
      </c>
      <c r="BH33" s="63">
        <v>30</v>
      </c>
      <c r="BI33" s="55">
        <f t="shared" si="0"/>
        <v>78</v>
      </c>
      <c r="BJ33" s="78">
        <v>28</v>
      </c>
      <c r="BK33" s="64">
        <v>50</v>
      </c>
      <c r="BL33" s="64">
        <v>1.22</v>
      </c>
      <c r="BM33" s="71">
        <v>1.1200000000000001</v>
      </c>
      <c r="BN33" s="71">
        <v>0.98</v>
      </c>
      <c r="BO33" s="71">
        <v>0.84</v>
      </c>
      <c r="BP33" s="71">
        <v>0.73</v>
      </c>
      <c r="BQ33" s="71">
        <v>0.69</v>
      </c>
      <c r="BR33" s="71">
        <v>0.73</v>
      </c>
      <c r="BS33" s="64">
        <v>0.84</v>
      </c>
      <c r="BT33" s="71">
        <v>1</v>
      </c>
      <c r="BU33" s="71">
        <v>1.18</v>
      </c>
      <c r="BV33" s="71">
        <v>1.3</v>
      </c>
      <c r="BW33" s="71">
        <v>1.3</v>
      </c>
      <c r="BX33" s="55">
        <f t="shared" si="1"/>
        <v>78</v>
      </c>
      <c r="BY33" s="58">
        <v>50</v>
      </c>
    </row>
    <row r="34" spans="2:77" x14ac:dyDescent="0.25">
      <c r="B34" s="92" t="str">
        <f t="shared" si="2"/>
        <v>Agosto</v>
      </c>
      <c r="C34" s="92">
        <f t="shared" si="3"/>
        <v>23.2</v>
      </c>
      <c r="D34" s="92">
        <f t="shared" si="4"/>
        <v>0.97</v>
      </c>
      <c r="E34" s="93">
        <f t="shared" si="5"/>
        <v>6.2516112000000001</v>
      </c>
      <c r="AM34" s="89">
        <v>12</v>
      </c>
      <c r="AN34" s="89" t="s">
        <v>39</v>
      </c>
      <c r="AO34" s="89">
        <f t="shared" si="6"/>
        <v>18.8</v>
      </c>
      <c r="AP34" s="89">
        <f>VLOOKUP(AN20+C10,BI4:BW250,AM34,FALSE)</f>
        <v>1.0900000000000001</v>
      </c>
      <c r="AQ34" s="90">
        <f t="shared" si="7"/>
        <v>5.6926776000000006</v>
      </c>
      <c r="AR34" s="44">
        <v>31</v>
      </c>
      <c r="AS34" s="94" t="s">
        <v>73</v>
      </c>
      <c r="AT34" s="69">
        <v>8.3000000000000007</v>
      </c>
      <c r="AU34" s="70">
        <v>12</v>
      </c>
      <c r="AV34" s="70">
        <v>15.5</v>
      </c>
      <c r="AW34" s="70">
        <v>18.5</v>
      </c>
      <c r="AX34" s="70">
        <v>23.2</v>
      </c>
      <c r="AY34" s="70">
        <v>24.5</v>
      </c>
      <c r="AZ34" s="70">
        <v>26.5</v>
      </c>
      <c r="BA34" s="70">
        <v>23.2</v>
      </c>
      <c r="BB34" s="70">
        <v>19</v>
      </c>
      <c r="BC34" s="70">
        <v>13.6</v>
      </c>
      <c r="BD34" s="70">
        <v>9.3000000000000007</v>
      </c>
      <c r="BE34" s="95">
        <v>8</v>
      </c>
      <c r="BF34" s="70">
        <v>16.8</v>
      </c>
      <c r="BG34" s="63">
        <v>37</v>
      </c>
      <c r="BH34" s="63">
        <v>31</v>
      </c>
      <c r="BI34" s="55">
        <f t="shared" si="0"/>
        <v>83</v>
      </c>
      <c r="BJ34" s="78">
        <v>28</v>
      </c>
      <c r="BK34" s="64">
        <v>55</v>
      </c>
      <c r="BL34" s="64">
        <v>1.2</v>
      </c>
      <c r="BM34" s="71">
        <v>1.0900000000000001</v>
      </c>
      <c r="BN34" s="71">
        <v>0.94</v>
      </c>
      <c r="BO34" s="71">
        <v>0.79</v>
      </c>
      <c r="BP34" s="71">
        <v>0.68</v>
      </c>
      <c r="BQ34" s="71">
        <v>0.63</v>
      </c>
      <c r="BR34" s="71">
        <v>0.67</v>
      </c>
      <c r="BS34" s="64">
        <v>0.79</v>
      </c>
      <c r="BT34" s="71">
        <v>0.96</v>
      </c>
      <c r="BU34" s="71">
        <v>1.1499999999999999</v>
      </c>
      <c r="BV34" s="71">
        <v>1.28</v>
      </c>
      <c r="BW34" s="71">
        <v>1.28</v>
      </c>
      <c r="BX34" s="55">
        <f t="shared" si="1"/>
        <v>83</v>
      </c>
      <c r="BY34" s="58">
        <v>55</v>
      </c>
    </row>
    <row r="35" spans="2:77" x14ac:dyDescent="0.25">
      <c r="B35" s="92" t="str">
        <f t="shared" si="2"/>
        <v>Septiembre</v>
      </c>
      <c r="C35" s="92">
        <f t="shared" si="3"/>
        <v>18.8</v>
      </c>
      <c r="D35" s="92">
        <f t="shared" si="4"/>
        <v>1.0900000000000001</v>
      </c>
      <c r="E35" s="93">
        <f t="shared" si="5"/>
        <v>5.6926776000000006</v>
      </c>
      <c r="AM35" s="89">
        <v>13</v>
      </c>
      <c r="AN35" s="89" t="s">
        <v>40</v>
      </c>
      <c r="AO35" s="89">
        <f t="shared" si="6"/>
        <v>12.4</v>
      </c>
      <c r="AP35" s="89">
        <f>VLOOKUP(AN20+C10,BI4:BW250,AM35,FALSE)</f>
        <v>1.22</v>
      </c>
      <c r="AQ35" s="90">
        <f t="shared" si="7"/>
        <v>4.2025584</v>
      </c>
      <c r="AR35" s="44">
        <v>32</v>
      </c>
      <c r="AS35" s="68" t="s">
        <v>74</v>
      </c>
      <c r="AT35" s="69">
        <v>9.4</v>
      </c>
      <c r="AU35" s="70">
        <v>12.6</v>
      </c>
      <c r="AV35" s="70">
        <v>17.2</v>
      </c>
      <c r="AW35" s="70">
        <v>20.3</v>
      </c>
      <c r="AX35" s="70">
        <v>23</v>
      </c>
      <c r="AY35" s="70">
        <v>24.8</v>
      </c>
      <c r="AZ35" s="70">
        <v>24.8</v>
      </c>
      <c r="BA35" s="70">
        <v>22.6</v>
      </c>
      <c r="BB35" s="70">
        <v>18.3</v>
      </c>
      <c r="BC35" s="70">
        <v>14.2</v>
      </c>
      <c r="BD35" s="70">
        <v>10.9</v>
      </c>
      <c r="BE35" s="70">
        <v>8.6999999999999993</v>
      </c>
      <c r="BF35" s="70">
        <v>17.2</v>
      </c>
      <c r="BG35" s="78">
        <v>35.200000000000003</v>
      </c>
      <c r="BH35" s="63">
        <v>32</v>
      </c>
      <c r="BI35" s="55">
        <f t="shared" si="0"/>
        <v>88</v>
      </c>
      <c r="BJ35" s="78">
        <v>28</v>
      </c>
      <c r="BK35" s="64">
        <v>60</v>
      </c>
      <c r="BL35" s="64">
        <v>1.18</v>
      </c>
      <c r="BM35" s="71">
        <v>1.05</v>
      </c>
      <c r="BN35" s="71">
        <v>0.9</v>
      </c>
      <c r="BO35" s="71">
        <v>0.73</v>
      </c>
      <c r="BP35" s="71">
        <v>0.61</v>
      </c>
      <c r="BQ35" s="71">
        <v>0.56999999999999995</v>
      </c>
      <c r="BR35" s="71">
        <v>0.61</v>
      </c>
      <c r="BS35" s="64">
        <v>0.73</v>
      </c>
      <c r="BT35" s="71">
        <v>0.92</v>
      </c>
      <c r="BU35" s="71">
        <v>1.1200000000000001</v>
      </c>
      <c r="BV35" s="71">
        <v>1.26</v>
      </c>
      <c r="BW35" s="71">
        <v>1.26</v>
      </c>
      <c r="BX35" s="55">
        <f t="shared" si="1"/>
        <v>88</v>
      </c>
      <c r="BY35" s="58">
        <v>60</v>
      </c>
    </row>
    <row r="36" spans="2:77" x14ac:dyDescent="0.25">
      <c r="B36" s="92" t="str">
        <f t="shared" si="2"/>
        <v>Octubre</v>
      </c>
      <c r="C36" s="92">
        <f t="shared" si="3"/>
        <v>12.4</v>
      </c>
      <c r="D36" s="92">
        <f t="shared" si="4"/>
        <v>1.22</v>
      </c>
      <c r="E36" s="93">
        <f t="shared" si="5"/>
        <v>4.2025584</v>
      </c>
      <c r="AM36" s="89">
        <v>14</v>
      </c>
      <c r="AN36" s="89" t="s">
        <v>41</v>
      </c>
      <c r="AO36" s="89">
        <f t="shared" si="6"/>
        <v>8.4</v>
      </c>
      <c r="AP36" s="89">
        <f>VLOOKUP(AN20+C10,BI4:BW250,AM36,FALSE)</f>
        <v>1.3</v>
      </c>
      <c r="AQ36" s="90">
        <f t="shared" si="7"/>
        <v>3.0335760000000001</v>
      </c>
      <c r="AR36" s="44">
        <v>33</v>
      </c>
      <c r="AS36" s="68" t="s">
        <v>75</v>
      </c>
      <c r="AT36" s="69">
        <v>10.1</v>
      </c>
      <c r="AU36" s="70">
        <v>14.8</v>
      </c>
      <c r="AV36" s="70">
        <v>16.600000000000001</v>
      </c>
      <c r="AW36" s="70">
        <v>20.399999999999999</v>
      </c>
      <c r="AX36" s="70">
        <v>24.2</v>
      </c>
      <c r="AY36" s="70">
        <v>25.6</v>
      </c>
      <c r="AZ36" s="70">
        <v>27.7</v>
      </c>
      <c r="BA36" s="70">
        <v>23.5</v>
      </c>
      <c r="BB36" s="70">
        <v>18.600000000000001</v>
      </c>
      <c r="BC36" s="70">
        <v>13.9</v>
      </c>
      <c r="BD36" s="70">
        <v>9.8000000000000007</v>
      </c>
      <c r="BE36" s="70">
        <v>8.1</v>
      </c>
      <c r="BF36" s="70">
        <v>17.8</v>
      </c>
      <c r="BG36" s="78">
        <v>38</v>
      </c>
      <c r="BH36" s="63">
        <v>33</v>
      </c>
      <c r="BI36" s="55">
        <f t="shared" si="0"/>
        <v>93</v>
      </c>
      <c r="BJ36" s="78">
        <v>28</v>
      </c>
      <c r="BK36" s="64">
        <v>65</v>
      </c>
      <c r="BL36" s="64">
        <v>1.1399999999999999</v>
      </c>
      <c r="BM36" s="71">
        <v>1.01</v>
      </c>
      <c r="BN36" s="71">
        <v>0.85</v>
      </c>
      <c r="BO36" s="71">
        <v>0.67</v>
      </c>
      <c r="BP36" s="71">
        <v>0.55000000000000004</v>
      </c>
      <c r="BQ36" s="71">
        <v>0.5</v>
      </c>
      <c r="BR36" s="71">
        <v>0.54</v>
      </c>
      <c r="BS36" s="64">
        <v>0.67</v>
      </c>
      <c r="BT36" s="71">
        <v>0.86</v>
      </c>
      <c r="BU36" s="71">
        <v>1.08</v>
      </c>
      <c r="BV36" s="71">
        <v>1.22</v>
      </c>
      <c r="BW36" s="71">
        <v>1.23</v>
      </c>
      <c r="BX36" s="55">
        <f t="shared" si="1"/>
        <v>93</v>
      </c>
      <c r="BY36" s="58">
        <v>65</v>
      </c>
    </row>
    <row r="37" spans="2:77" x14ac:dyDescent="0.25">
      <c r="B37" s="92" t="str">
        <f>AN36</f>
        <v>Noviembre</v>
      </c>
      <c r="C37" s="92">
        <f t="shared" si="3"/>
        <v>8.4</v>
      </c>
      <c r="D37" s="92">
        <f t="shared" si="4"/>
        <v>1.3</v>
      </c>
      <c r="E37" s="93">
        <f t="shared" si="5"/>
        <v>3.0335760000000001</v>
      </c>
      <c r="AM37" s="89">
        <v>15</v>
      </c>
      <c r="AN37" s="89" t="s">
        <v>42</v>
      </c>
      <c r="AO37" s="89">
        <f t="shared" si="6"/>
        <v>6.4</v>
      </c>
      <c r="AP37" s="89">
        <f>VLOOKUP(AN20+C10,BI4:BW250,AM37,FALSE)</f>
        <v>1.3</v>
      </c>
      <c r="AQ37" s="90">
        <f t="shared" si="7"/>
        <v>2.311296</v>
      </c>
      <c r="AR37" s="44">
        <v>34</v>
      </c>
      <c r="AS37" s="68" t="s">
        <v>76</v>
      </c>
      <c r="AT37" s="69">
        <v>5</v>
      </c>
      <c r="AU37" s="70">
        <v>7.4</v>
      </c>
      <c r="AV37" s="70">
        <v>12.3</v>
      </c>
      <c r="AW37" s="70">
        <v>14.5</v>
      </c>
      <c r="AX37" s="70">
        <v>17.100000000000001</v>
      </c>
      <c r="AY37" s="70">
        <v>18.899999999999999</v>
      </c>
      <c r="AZ37" s="70">
        <v>20.5</v>
      </c>
      <c r="BA37" s="70">
        <v>18.2</v>
      </c>
      <c r="BB37" s="70">
        <v>16.2</v>
      </c>
      <c r="BC37" s="70">
        <v>10.199999999999999</v>
      </c>
      <c r="BD37" s="70">
        <v>6</v>
      </c>
      <c r="BE37" s="70">
        <v>4.5</v>
      </c>
      <c r="BF37" s="70">
        <v>12.6</v>
      </c>
      <c r="BG37" s="78">
        <v>43</v>
      </c>
      <c r="BH37" s="63">
        <v>34</v>
      </c>
      <c r="BI37" s="55">
        <f t="shared" si="0"/>
        <v>98</v>
      </c>
      <c r="BJ37" s="78">
        <v>28</v>
      </c>
      <c r="BK37" s="64">
        <v>70</v>
      </c>
      <c r="BL37" s="64">
        <v>1.1000000000000001</v>
      </c>
      <c r="BM37" s="71">
        <v>0.97</v>
      </c>
      <c r="BN37" s="71">
        <v>0.79</v>
      </c>
      <c r="BO37" s="71">
        <v>0.61</v>
      </c>
      <c r="BP37" s="71">
        <v>0.48</v>
      </c>
      <c r="BQ37" s="71">
        <v>0.42</v>
      </c>
      <c r="BR37" s="71">
        <v>0.47</v>
      </c>
      <c r="BS37" s="64">
        <v>0.6</v>
      </c>
      <c r="BT37" s="71">
        <v>0.81</v>
      </c>
      <c r="BU37" s="71">
        <v>1.03</v>
      </c>
      <c r="BV37" s="71">
        <v>1.18</v>
      </c>
      <c r="BW37" s="71">
        <v>1.19</v>
      </c>
      <c r="BX37" s="55">
        <f t="shared" si="1"/>
        <v>98</v>
      </c>
      <c r="BY37" s="58">
        <v>70</v>
      </c>
    </row>
    <row r="38" spans="2:77" x14ac:dyDescent="0.25">
      <c r="B38" s="92" t="str">
        <f>AN37</f>
        <v>Diciembre</v>
      </c>
      <c r="C38" s="92">
        <f>AO37</f>
        <v>6.4</v>
      </c>
      <c r="D38" s="92">
        <f>AP37</f>
        <v>1.3</v>
      </c>
      <c r="E38" s="93">
        <f>AQ37</f>
        <v>2.311296</v>
      </c>
      <c r="AR38" s="44">
        <v>35</v>
      </c>
      <c r="AS38" s="68" t="s">
        <v>77</v>
      </c>
      <c r="AT38" s="69">
        <v>4.7</v>
      </c>
      <c r="AU38" s="70">
        <v>7.3</v>
      </c>
      <c r="AV38" s="70">
        <v>11.3</v>
      </c>
      <c r="AW38" s="70">
        <v>14</v>
      </c>
      <c r="AX38" s="70">
        <v>16.2</v>
      </c>
      <c r="AY38" s="70">
        <v>17.600000000000001</v>
      </c>
      <c r="AZ38" s="70">
        <v>18.3</v>
      </c>
      <c r="BA38" s="70">
        <v>16.600000000000001</v>
      </c>
      <c r="BB38" s="70">
        <v>14.3</v>
      </c>
      <c r="BC38" s="70">
        <v>9.4</v>
      </c>
      <c r="BD38" s="70">
        <v>5.6</v>
      </c>
      <c r="BE38" s="70">
        <v>4.3</v>
      </c>
      <c r="BF38" s="70">
        <v>11.6</v>
      </c>
      <c r="BG38" s="78">
        <v>42</v>
      </c>
      <c r="BH38" s="63">
        <v>35</v>
      </c>
      <c r="BI38" s="55">
        <f t="shared" si="0"/>
        <v>103</v>
      </c>
      <c r="BJ38" s="78">
        <v>28</v>
      </c>
      <c r="BK38" s="64">
        <v>75</v>
      </c>
      <c r="BL38" s="64">
        <v>1.06</v>
      </c>
      <c r="BM38" s="71">
        <v>0.91</v>
      </c>
      <c r="BN38" s="71">
        <v>0.73</v>
      </c>
      <c r="BO38" s="71">
        <v>0.54</v>
      </c>
      <c r="BP38" s="71">
        <v>0.4</v>
      </c>
      <c r="BQ38" s="71">
        <v>0.35</v>
      </c>
      <c r="BR38" s="71">
        <v>0.39</v>
      </c>
      <c r="BS38" s="64">
        <v>0.53</v>
      </c>
      <c r="BT38" s="71">
        <v>0.74</v>
      </c>
      <c r="BU38" s="71">
        <v>0.97</v>
      </c>
      <c r="BV38" s="71">
        <v>1.1399999999999999</v>
      </c>
      <c r="BW38" s="71">
        <v>1.1499999999999999</v>
      </c>
      <c r="BX38" s="55">
        <f t="shared" si="1"/>
        <v>103</v>
      </c>
      <c r="BY38" s="58">
        <v>75</v>
      </c>
    </row>
    <row r="39" spans="2:77" x14ac:dyDescent="0.25">
      <c r="B39" s="96"/>
      <c r="C39" s="96"/>
      <c r="D39" s="96"/>
      <c r="E39" s="96"/>
      <c r="AL39" s="65" t="s">
        <v>99</v>
      </c>
      <c r="AM39" s="66"/>
      <c r="AN39" s="66"/>
      <c r="AO39" s="66"/>
      <c r="AP39" s="66"/>
      <c r="AQ39" s="97"/>
      <c r="AR39" s="44">
        <v>36</v>
      </c>
      <c r="AS39" s="68" t="s">
        <v>78</v>
      </c>
      <c r="AT39" s="69">
        <v>5.3</v>
      </c>
      <c r="AU39" s="70">
        <v>9</v>
      </c>
      <c r="AV39" s="70">
        <v>13.2</v>
      </c>
      <c r="AW39" s="70">
        <v>17.5</v>
      </c>
      <c r="AX39" s="70">
        <v>19.7</v>
      </c>
      <c r="AY39" s="70">
        <v>21.8</v>
      </c>
      <c r="AZ39" s="70">
        <v>24.1</v>
      </c>
      <c r="BA39" s="70">
        <v>21.6</v>
      </c>
      <c r="BB39" s="70">
        <v>17.100000000000001</v>
      </c>
      <c r="BC39" s="70">
        <v>10.9</v>
      </c>
      <c r="BD39" s="70">
        <v>6.6</v>
      </c>
      <c r="BE39" s="70">
        <v>4.5999999999999996</v>
      </c>
      <c r="BF39" s="70">
        <v>14.3</v>
      </c>
      <c r="BG39" s="78">
        <v>42</v>
      </c>
      <c r="BH39" s="63">
        <v>36</v>
      </c>
      <c r="BI39" s="55">
        <f t="shared" si="0"/>
        <v>108</v>
      </c>
      <c r="BJ39" s="78">
        <v>28</v>
      </c>
      <c r="BK39" s="64">
        <v>80</v>
      </c>
      <c r="BL39" s="64">
        <v>1</v>
      </c>
      <c r="BM39" s="71">
        <v>0.86</v>
      </c>
      <c r="BN39" s="71">
        <v>0.66</v>
      </c>
      <c r="BO39" s="71">
        <v>0.47</v>
      </c>
      <c r="BP39" s="71">
        <v>0.33</v>
      </c>
      <c r="BQ39" s="71">
        <v>0.27</v>
      </c>
      <c r="BR39" s="71">
        <v>0.32</v>
      </c>
      <c r="BS39" s="64">
        <v>0.46</v>
      </c>
      <c r="BT39" s="71">
        <v>0.67</v>
      </c>
      <c r="BU39" s="71">
        <v>0.91</v>
      </c>
      <c r="BV39" s="71">
        <v>1.08</v>
      </c>
      <c r="BW39" s="71">
        <v>1.1000000000000001</v>
      </c>
      <c r="BX39" s="55">
        <f t="shared" si="1"/>
        <v>108</v>
      </c>
      <c r="BY39" s="58">
        <v>80</v>
      </c>
    </row>
    <row r="40" spans="2:77" x14ac:dyDescent="0.25">
      <c r="B40" s="74"/>
      <c r="C40" s="74"/>
      <c r="D40" s="74"/>
      <c r="E40" s="74"/>
      <c r="AL40" s="77"/>
      <c r="AM40" s="74"/>
      <c r="AN40" s="74"/>
      <c r="AO40" s="74" t="s">
        <v>102</v>
      </c>
      <c r="AP40" s="74"/>
      <c r="AQ40" s="98"/>
      <c r="AR40" s="44">
        <v>37</v>
      </c>
      <c r="AS40" s="68" t="s">
        <v>79</v>
      </c>
      <c r="AT40" s="69">
        <v>11.2</v>
      </c>
      <c r="AU40" s="70">
        <v>14.2</v>
      </c>
      <c r="AV40" s="70">
        <v>17.8</v>
      </c>
      <c r="AW40" s="70">
        <v>19.600000000000001</v>
      </c>
      <c r="AX40" s="70">
        <v>21.7</v>
      </c>
      <c r="AY40" s="70">
        <v>22.5</v>
      </c>
      <c r="AZ40" s="70">
        <v>24.3</v>
      </c>
      <c r="BA40" s="70">
        <v>21.9</v>
      </c>
      <c r="BB40" s="70">
        <v>19.8</v>
      </c>
      <c r="BC40" s="70">
        <v>15.1</v>
      </c>
      <c r="BD40" s="70">
        <v>12.3</v>
      </c>
      <c r="BE40" s="70">
        <v>10.7</v>
      </c>
      <c r="BF40" s="70">
        <v>17.600000000000001</v>
      </c>
      <c r="BG40" s="78">
        <v>28</v>
      </c>
      <c r="BH40" s="63">
        <v>37</v>
      </c>
      <c r="BI40" s="55">
        <f t="shared" si="0"/>
        <v>113</v>
      </c>
      <c r="BJ40" s="78">
        <v>28</v>
      </c>
      <c r="BK40" s="64">
        <v>85</v>
      </c>
      <c r="BL40" s="64">
        <v>0.94</v>
      </c>
      <c r="BM40" s="71">
        <v>0.79</v>
      </c>
      <c r="BN40" s="71">
        <v>0.59</v>
      </c>
      <c r="BO40" s="71">
        <v>0.39</v>
      </c>
      <c r="BP40" s="71">
        <v>0.25</v>
      </c>
      <c r="BQ40" s="71">
        <v>0.19</v>
      </c>
      <c r="BR40" s="71">
        <v>0.24</v>
      </c>
      <c r="BS40" s="64">
        <v>0.38</v>
      </c>
      <c r="BT40" s="71">
        <v>0.6</v>
      </c>
      <c r="BU40" s="71">
        <v>0.84</v>
      </c>
      <c r="BV40" s="71">
        <v>1.02</v>
      </c>
      <c r="BW40" s="71">
        <v>1.04</v>
      </c>
      <c r="BX40" s="55">
        <f t="shared" si="1"/>
        <v>113</v>
      </c>
      <c r="BY40" s="58">
        <v>85</v>
      </c>
    </row>
    <row r="41" spans="2:77" x14ac:dyDescent="0.25">
      <c r="AL41" s="77" t="str">
        <f>IF(AL6&lt;=AM41,AN41," ")</f>
        <v xml:space="preserve"> </v>
      </c>
      <c r="AM41" s="74">
        <v>1</v>
      </c>
      <c r="AN41" s="74" t="s">
        <v>31</v>
      </c>
      <c r="AO41" s="74" t="b">
        <f>IF(AM41&gt;=AL6,AM41&lt;=AL8)</f>
        <v>0</v>
      </c>
      <c r="AP41" s="74"/>
      <c r="AQ41" s="98" t="str">
        <f>IF(AO41=TRUE,AQ26," ")</f>
        <v xml:space="preserve"> </v>
      </c>
      <c r="AR41" s="44">
        <v>38</v>
      </c>
      <c r="AS41" s="68" t="s">
        <v>80</v>
      </c>
      <c r="AT41" s="69">
        <v>5.5</v>
      </c>
      <c r="AU41" s="70">
        <v>8.1999999999999993</v>
      </c>
      <c r="AV41" s="70">
        <v>13</v>
      </c>
      <c r="AW41" s="70">
        <v>15.7</v>
      </c>
      <c r="AX41" s="70">
        <v>17.5</v>
      </c>
      <c r="AY41" s="70">
        <v>20.399999999999999</v>
      </c>
      <c r="AZ41" s="70">
        <v>22</v>
      </c>
      <c r="BA41" s="70">
        <v>18.899999999999999</v>
      </c>
      <c r="BB41" s="70">
        <v>15.1</v>
      </c>
      <c r="BC41" s="70">
        <v>11.3</v>
      </c>
      <c r="BD41" s="70">
        <v>6.8</v>
      </c>
      <c r="BE41" s="70">
        <v>5.5</v>
      </c>
      <c r="BF41" s="70">
        <v>13.3</v>
      </c>
      <c r="BG41" s="78">
        <v>42</v>
      </c>
      <c r="BH41" s="63">
        <v>38</v>
      </c>
      <c r="BI41" s="55">
        <f t="shared" si="0"/>
        <v>118</v>
      </c>
      <c r="BJ41" s="78">
        <v>28</v>
      </c>
      <c r="BK41" s="64">
        <v>90</v>
      </c>
      <c r="BL41" s="64">
        <v>0.88</v>
      </c>
      <c r="BM41" s="71">
        <v>0.72</v>
      </c>
      <c r="BN41" s="71">
        <v>0.52</v>
      </c>
      <c r="BO41" s="71">
        <v>0.32</v>
      </c>
      <c r="BP41" s="71">
        <v>0.17</v>
      </c>
      <c r="BQ41" s="71">
        <v>0.11</v>
      </c>
      <c r="BR41" s="71">
        <v>0.16</v>
      </c>
      <c r="BS41" s="64">
        <v>0.31</v>
      </c>
      <c r="BT41" s="71">
        <v>0.53</v>
      </c>
      <c r="BU41" s="71">
        <v>0.77</v>
      </c>
      <c r="BV41" s="71">
        <v>0.95</v>
      </c>
      <c r="BW41" s="71">
        <v>0.98</v>
      </c>
      <c r="BX41" s="55">
        <f t="shared" si="1"/>
        <v>118</v>
      </c>
      <c r="BY41" s="58">
        <v>90</v>
      </c>
    </row>
    <row r="42" spans="2:77" x14ac:dyDescent="0.25">
      <c r="AL42" s="77" t="str">
        <f>IF(AL6&lt;=AM42,AN42," ")</f>
        <v xml:space="preserve"> </v>
      </c>
      <c r="AM42" s="74">
        <v>2</v>
      </c>
      <c r="AN42" s="74" t="s">
        <v>32</v>
      </c>
      <c r="AO42" s="74" t="b">
        <f>IF(AM42&gt;=AL6,AM42&lt;=AL8)</f>
        <v>0</v>
      </c>
      <c r="AP42" s="74"/>
      <c r="AQ42" s="98" t="str">
        <f t="shared" ref="AQ42:AQ52" si="8">IF(AO42=TRUE,AQ27," ")</f>
        <v xml:space="preserve"> </v>
      </c>
      <c r="AR42" s="44">
        <v>39</v>
      </c>
      <c r="AS42" s="68" t="s">
        <v>81</v>
      </c>
      <c r="AT42" s="69">
        <v>5.6</v>
      </c>
      <c r="AU42" s="70">
        <v>8.8000000000000007</v>
      </c>
      <c r="AV42" s="70">
        <v>13.7</v>
      </c>
      <c r="AW42" s="70">
        <v>16.600000000000001</v>
      </c>
      <c r="AX42" s="70">
        <v>19.2</v>
      </c>
      <c r="AY42" s="70">
        <v>21.4</v>
      </c>
      <c r="AZ42" s="70">
        <v>23.3</v>
      </c>
      <c r="BA42" s="70">
        <v>20.8</v>
      </c>
      <c r="BB42" s="70">
        <v>16.2</v>
      </c>
      <c r="BC42" s="70">
        <v>10.7</v>
      </c>
      <c r="BD42" s="70">
        <v>6.8</v>
      </c>
      <c r="BE42" s="70">
        <v>4.8</v>
      </c>
      <c r="BF42" s="70">
        <v>14</v>
      </c>
      <c r="BG42" s="78">
        <v>42</v>
      </c>
      <c r="BH42" s="63">
        <v>39</v>
      </c>
      <c r="BI42" s="55">
        <f t="shared" si="0"/>
        <v>29</v>
      </c>
      <c r="BJ42" s="78">
        <v>29</v>
      </c>
      <c r="BK42" s="64">
        <v>0</v>
      </c>
      <c r="BL42" s="57">
        <v>1</v>
      </c>
      <c r="BM42" s="57">
        <v>1</v>
      </c>
      <c r="BN42" s="57">
        <v>1</v>
      </c>
      <c r="BO42" s="57">
        <v>1</v>
      </c>
      <c r="BP42" s="57">
        <v>1</v>
      </c>
      <c r="BQ42" s="57">
        <v>1</v>
      </c>
      <c r="BR42" s="57">
        <v>1</v>
      </c>
      <c r="BS42" s="56">
        <v>1</v>
      </c>
      <c r="BT42" s="56">
        <v>1</v>
      </c>
      <c r="BU42" s="56">
        <v>1</v>
      </c>
      <c r="BV42" s="56">
        <v>1</v>
      </c>
      <c r="BW42" s="56">
        <v>1</v>
      </c>
      <c r="BX42" s="55">
        <f t="shared" si="1"/>
        <v>29</v>
      </c>
      <c r="BY42" s="58">
        <v>0</v>
      </c>
    </row>
    <row r="43" spans="2:77" x14ac:dyDescent="0.25">
      <c r="AL43" s="77" t="str">
        <f>IF(AL6&lt;=AM43,AN43," ")</f>
        <v xml:space="preserve"> </v>
      </c>
      <c r="AM43" s="74">
        <v>3</v>
      </c>
      <c r="AN43" s="74" t="s">
        <v>33</v>
      </c>
      <c r="AO43" s="74" t="b">
        <f>IF(AM43&gt;=AL6,AM43&lt;=AL8)</f>
        <v>0</v>
      </c>
      <c r="AP43" s="74"/>
      <c r="AQ43" s="98" t="str">
        <f t="shared" si="8"/>
        <v xml:space="preserve"> </v>
      </c>
      <c r="AR43" s="44">
        <v>40</v>
      </c>
      <c r="AS43" s="68" t="s">
        <v>82</v>
      </c>
      <c r="AT43" s="69">
        <v>6.1</v>
      </c>
      <c r="AU43" s="70">
        <v>9.5</v>
      </c>
      <c r="AV43" s="70">
        <v>13.5</v>
      </c>
      <c r="AW43" s="70">
        <v>17.100000000000001</v>
      </c>
      <c r="AX43" s="70">
        <v>19.7</v>
      </c>
      <c r="AY43" s="70">
        <v>22.8</v>
      </c>
      <c r="AZ43" s="70">
        <v>24.6</v>
      </c>
      <c r="BA43" s="70">
        <v>22.6</v>
      </c>
      <c r="BB43" s="70">
        <v>17.5</v>
      </c>
      <c r="BC43" s="70">
        <v>11.3</v>
      </c>
      <c r="BD43" s="70">
        <v>7.4</v>
      </c>
      <c r="BE43" s="70">
        <v>5.2</v>
      </c>
      <c r="BF43" s="70">
        <v>14.8</v>
      </c>
      <c r="BG43" s="78">
        <v>41</v>
      </c>
      <c r="BH43" s="63">
        <v>40</v>
      </c>
      <c r="BI43" s="55">
        <f t="shared" si="0"/>
        <v>34</v>
      </c>
      <c r="BJ43" s="78">
        <v>29</v>
      </c>
      <c r="BK43" s="64">
        <v>5</v>
      </c>
      <c r="BL43" s="71">
        <v>1.05</v>
      </c>
      <c r="BM43" s="71">
        <v>1.04</v>
      </c>
      <c r="BN43" s="71">
        <v>1.03</v>
      </c>
      <c r="BO43" s="71">
        <v>1.02</v>
      </c>
      <c r="BP43" s="71">
        <v>1</v>
      </c>
      <c r="BQ43" s="71">
        <v>1</v>
      </c>
      <c r="BR43" s="71">
        <v>1</v>
      </c>
      <c r="BS43" s="56">
        <v>1.02</v>
      </c>
      <c r="BT43" s="56">
        <v>1.03</v>
      </c>
      <c r="BU43" s="56">
        <v>1.05</v>
      </c>
      <c r="BV43" s="56">
        <v>1.07</v>
      </c>
      <c r="BW43" s="56">
        <v>1.06</v>
      </c>
      <c r="BX43" s="55">
        <f t="shared" si="1"/>
        <v>34</v>
      </c>
      <c r="BY43" s="58">
        <v>5</v>
      </c>
    </row>
    <row r="44" spans="2:77" x14ac:dyDescent="0.25">
      <c r="AL44" s="77" t="str">
        <f>IF(AL6&lt;=AM44,AN44," ")</f>
        <v xml:space="preserve"> </v>
      </c>
      <c r="AM44" s="74">
        <v>4</v>
      </c>
      <c r="AN44" s="74" t="s">
        <v>34</v>
      </c>
      <c r="AO44" s="74" t="b">
        <f>IF(AM44&gt;=AL6,AM44&lt;=AL8)</f>
        <v>0</v>
      </c>
      <c r="AP44" s="74"/>
      <c r="AQ44" s="98" t="str">
        <f t="shared" si="8"/>
        <v xml:space="preserve"> </v>
      </c>
      <c r="AR44" s="44">
        <v>41</v>
      </c>
      <c r="AS44" s="68" t="s">
        <v>84</v>
      </c>
      <c r="AT44" s="69">
        <v>10.7</v>
      </c>
      <c r="AU44" s="70">
        <v>13.3</v>
      </c>
      <c r="AV44" s="70">
        <v>18.100000000000001</v>
      </c>
      <c r="AW44" s="70">
        <v>21.5</v>
      </c>
      <c r="AX44" s="70">
        <v>25.7</v>
      </c>
      <c r="AY44" s="70">
        <v>26.5</v>
      </c>
      <c r="AZ44" s="70">
        <v>29.3</v>
      </c>
      <c r="BA44" s="70">
        <v>26.6</v>
      </c>
      <c r="BB44" s="70">
        <v>21.2</v>
      </c>
      <c r="BC44" s="70">
        <v>16.2</v>
      </c>
      <c r="BD44" s="70">
        <v>10.8</v>
      </c>
      <c r="BE44" s="70">
        <v>9.3000000000000007</v>
      </c>
      <c r="BF44" s="70">
        <v>19.100000000000001</v>
      </c>
      <c r="BG44" s="78">
        <v>28</v>
      </c>
      <c r="BH44" s="63">
        <v>41</v>
      </c>
      <c r="BI44" s="55">
        <f t="shared" si="0"/>
        <v>39</v>
      </c>
      <c r="BJ44" s="78">
        <v>29</v>
      </c>
      <c r="BK44" s="64">
        <v>10</v>
      </c>
      <c r="BL44" s="71">
        <v>1.1000000000000001</v>
      </c>
      <c r="BM44" s="71">
        <v>1.08</v>
      </c>
      <c r="BN44" s="71">
        <v>1.05</v>
      </c>
      <c r="BO44" s="71">
        <v>1.02</v>
      </c>
      <c r="BP44" s="71">
        <v>1</v>
      </c>
      <c r="BQ44" s="71">
        <v>0.99</v>
      </c>
      <c r="BR44" s="71">
        <v>1</v>
      </c>
      <c r="BS44" s="56">
        <v>1.03</v>
      </c>
      <c r="BT44" s="56">
        <v>1.06</v>
      </c>
      <c r="BU44" s="56">
        <v>1.1000000000000001</v>
      </c>
      <c r="BV44" s="56">
        <v>1.1200000000000001</v>
      </c>
      <c r="BW44" s="56">
        <v>1.1200000000000001</v>
      </c>
      <c r="BX44" s="55">
        <f t="shared" si="1"/>
        <v>39</v>
      </c>
      <c r="BY44" s="58">
        <v>10</v>
      </c>
    </row>
    <row r="45" spans="2:77" x14ac:dyDescent="0.25">
      <c r="AL45" s="77" t="str">
        <f>IF(AL6&lt;=AM45,AN45," ")</f>
        <v xml:space="preserve"> </v>
      </c>
      <c r="AM45" s="74">
        <v>5</v>
      </c>
      <c r="AN45" s="74" t="s">
        <v>35</v>
      </c>
      <c r="AO45" s="74" t="b">
        <f>IF(AM45&gt;=AL6,AM45&lt;=AL8)</f>
        <v>0</v>
      </c>
      <c r="AP45" s="74"/>
      <c r="AQ45" s="98" t="str">
        <f t="shared" si="8"/>
        <v xml:space="preserve"> </v>
      </c>
      <c r="AR45" s="44">
        <v>42</v>
      </c>
      <c r="AS45" s="68" t="s">
        <v>83</v>
      </c>
      <c r="AT45" s="69">
        <v>5.7</v>
      </c>
      <c r="AU45" s="70">
        <v>8.8000000000000007</v>
      </c>
      <c r="AV45" s="70">
        <v>13.4</v>
      </c>
      <c r="AW45" s="70">
        <v>18.399999999999999</v>
      </c>
      <c r="AX45" s="70">
        <v>20.399999999999999</v>
      </c>
      <c r="AY45" s="70">
        <v>22.6</v>
      </c>
      <c r="AZ45" s="70">
        <v>25.7</v>
      </c>
      <c r="BA45" s="70">
        <v>14.9</v>
      </c>
      <c r="BB45" s="70">
        <v>18.8</v>
      </c>
      <c r="BC45" s="70">
        <v>11.4</v>
      </c>
      <c r="BD45" s="70">
        <v>6.8</v>
      </c>
      <c r="BE45" s="70">
        <v>5.0999999999999996</v>
      </c>
      <c r="BF45" s="70">
        <v>15.2</v>
      </c>
      <c r="BG45" s="78">
        <v>41</v>
      </c>
      <c r="BH45" s="63">
        <v>42</v>
      </c>
      <c r="BI45" s="55">
        <f t="shared" si="0"/>
        <v>44</v>
      </c>
      <c r="BJ45" s="78">
        <v>29</v>
      </c>
      <c r="BK45" s="64">
        <v>15</v>
      </c>
      <c r="BL45" s="71">
        <v>1.1499999999999999</v>
      </c>
      <c r="BM45" s="71">
        <v>1.1100000000000001</v>
      </c>
      <c r="BN45" s="71">
        <v>1.07</v>
      </c>
      <c r="BO45" s="71">
        <v>1.03</v>
      </c>
      <c r="BP45" s="71">
        <v>0.99</v>
      </c>
      <c r="BQ45" s="71">
        <v>0.98</v>
      </c>
      <c r="BR45" s="71">
        <v>0.99</v>
      </c>
      <c r="BS45" s="56">
        <v>1.03</v>
      </c>
      <c r="BT45" s="56">
        <v>1.08</v>
      </c>
      <c r="BU45" s="56">
        <v>1.1399999999999999</v>
      </c>
      <c r="BV45" s="56">
        <v>1.18</v>
      </c>
      <c r="BW45" s="56">
        <v>1.17</v>
      </c>
      <c r="BX45" s="55">
        <f t="shared" si="1"/>
        <v>44</v>
      </c>
      <c r="BY45" s="58">
        <v>15</v>
      </c>
    </row>
    <row r="46" spans="2:77" x14ac:dyDescent="0.25">
      <c r="AL46" s="77" t="str">
        <f>IF(AL6&lt;=AM46,AN46," ")</f>
        <v>Junio</v>
      </c>
      <c r="AM46" s="74">
        <v>6</v>
      </c>
      <c r="AN46" s="74" t="s">
        <v>36</v>
      </c>
      <c r="AO46" s="74" t="b">
        <f>IF(AM46&gt;=AL6,AM46&lt;=AL8)</f>
        <v>1</v>
      </c>
      <c r="AP46" s="74"/>
      <c r="AQ46" s="98">
        <f t="shared" si="8"/>
        <v>5.9965907999999999</v>
      </c>
      <c r="AR46" s="44">
        <v>43</v>
      </c>
      <c r="AS46" s="68" t="s">
        <v>85</v>
      </c>
      <c r="AT46" s="69">
        <v>7.3</v>
      </c>
      <c r="AU46" s="70">
        <v>10.9</v>
      </c>
      <c r="AV46" s="70">
        <v>14.4</v>
      </c>
      <c r="AW46" s="70">
        <v>19.2</v>
      </c>
      <c r="AX46" s="70">
        <v>22.4</v>
      </c>
      <c r="AY46" s="70">
        <v>24.3</v>
      </c>
      <c r="AZ46" s="70">
        <v>24.9</v>
      </c>
      <c r="BA46" s="70">
        <v>23</v>
      </c>
      <c r="BB46" s="70">
        <v>17.899999999999999</v>
      </c>
      <c r="BC46" s="70">
        <v>12.3</v>
      </c>
      <c r="BD46" s="70">
        <v>8.8000000000000007</v>
      </c>
      <c r="BE46" s="70">
        <v>6.9</v>
      </c>
      <c r="BF46" s="70">
        <v>16</v>
      </c>
      <c r="BG46" s="78">
        <v>37</v>
      </c>
      <c r="BH46" s="63">
        <v>43</v>
      </c>
      <c r="BI46" s="55">
        <f t="shared" si="0"/>
        <v>49</v>
      </c>
      <c r="BJ46" s="78">
        <v>29</v>
      </c>
      <c r="BK46" s="64">
        <v>20</v>
      </c>
      <c r="BL46" s="71">
        <v>1.18</v>
      </c>
      <c r="BM46" s="71">
        <v>1.1399999999999999</v>
      </c>
      <c r="BN46" s="71">
        <v>1.08</v>
      </c>
      <c r="BO46" s="71">
        <v>1.02</v>
      </c>
      <c r="BP46" s="71">
        <v>0.98</v>
      </c>
      <c r="BQ46" s="71">
        <v>0.96</v>
      </c>
      <c r="BR46" s="71">
        <v>0.98</v>
      </c>
      <c r="BS46" s="56">
        <v>1.03</v>
      </c>
      <c r="BT46" s="56">
        <v>1.1000000000000001</v>
      </c>
      <c r="BU46" s="56">
        <v>1.17</v>
      </c>
      <c r="BV46" s="56">
        <v>1.22</v>
      </c>
      <c r="BW46" s="56">
        <v>1.22</v>
      </c>
      <c r="BX46" s="55">
        <f t="shared" si="1"/>
        <v>49</v>
      </c>
      <c r="BY46" s="58">
        <v>20</v>
      </c>
    </row>
    <row r="47" spans="2:77" x14ac:dyDescent="0.25">
      <c r="AL47" s="77" t="str">
        <f>IF(J12&lt;=AM47,AN47," ")</f>
        <v>Julio</v>
      </c>
      <c r="AM47" s="74">
        <v>7</v>
      </c>
      <c r="AN47" s="74" t="s">
        <v>37</v>
      </c>
      <c r="AO47" s="74" t="b">
        <f>IF(AM47&gt;=AL6,AM47&lt;=AL8)</f>
        <v>1</v>
      </c>
      <c r="AP47" s="74"/>
      <c r="AQ47" s="98">
        <f t="shared" si="8"/>
        <v>6.6013614</v>
      </c>
      <c r="AR47" s="44">
        <v>44</v>
      </c>
      <c r="AS47" s="68" t="s">
        <v>86</v>
      </c>
      <c r="AT47" s="69">
        <v>5.9</v>
      </c>
      <c r="AU47" s="70">
        <v>8.6999999999999993</v>
      </c>
      <c r="AV47" s="70">
        <v>12.8</v>
      </c>
      <c r="AW47" s="70">
        <v>17.100000000000001</v>
      </c>
      <c r="AX47" s="70">
        <v>19.7</v>
      </c>
      <c r="AY47" s="70">
        <v>21.8</v>
      </c>
      <c r="AZ47" s="70">
        <v>24.1</v>
      </c>
      <c r="BA47" s="70">
        <v>22.3</v>
      </c>
      <c r="BB47" s="70">
        <v>17.5</v>
      </c>
      <c r="BC47" s="70">
        <v>11.1</v>
      </c>
      <c r="BD47" s="70">
        <v>7.6</v>
      </c>
      <c r="BE47" s="70">
        <v>5.6</v>
      </c>
      <c r="BF47" s="70">
        <v>14.5</v>
      </c>
      <c r="BG47" s="78">
        <v>42</v>
      </c>
      <c r="BH47" s="63">
        <v>44</v>
      </c>
      <c r="BI47" s="55">
        <f t="shared" si="0"/>
        <v>54</v>
      </c>
      <c r="BJ47" s="78">
        <v>29</v>
      </c>
      <c r="BK47" s="64">
        <v>25</v>
      </c>
      <c r="BL47" s="71">
        <v>1.21</v>
      </c>
      <c r="BM47" s="71">
        <v>1.1499999999999999</v>
      </c>
      <c r="BN47" s="71">
        <v>1.08</v>
      </c>
      <c r="BO47" s="71">
        <v>1.01</v>
      </c>
      <c r="BP47" s="71">
        <v>0.95</v>
      </c>
      <c r="BQ47" s="71">
        <v>0.93</v>
      </c>
      <c r="BR47" s="71">
        <v>0.95</v>
      </c>
      <c r="BS47" s="56">
        <v>1.01</v>
      </c>
      <c r="BT47" s="56">
        <v>1.1000000000000001</v>
      </c>
      <c r="BU47" s="56">
        <v>1.2</v>
      </c>
      <c r="BV47" s="56">
        <v>1.26</v>
      </c>
      <c r="BW47" s="56">
        <v>1.25</v>
      </c>
      <c r="BX47" s="55">
        <f t="shared" si="1"/>
        <v>54</v>
      </c>
      <c r="BY47" s="58">
        <v>25</v>
      </c>
    </row>
    <row r="48" spans="2:77" x14ac:dyDescent="0.25">
      <c r="AL48" s="77" t="str">
        <f>IF(AL6&lt;=AM48,AN48," ")</f>
        <v>Agosto</v>
      </c>
      <c r="AM48" s="74">
        <v>8</v>
      </c>
      <c r="AN48" s="74" t="s">
        <v>38</v>
      </c>
      <c r="AO48" s="74" t="b">
        <f>IF(AM48&gt;=AL6,AM48&lt;=AL8)</f>
        <v>1</v>
      </c>
      <c r="AP48" s="74"/>
      <c r="AQ48" s="98">
        <f t="shared" si="8"/>
        <v>6.2516112000000001</v>
      </c>
      <c r="AR48" s="44">
        <v>45</v>
      </c>
      <c r="AS48" s="68" t="s">
        <v>87</v>
      </c>
      <c r="AT48" s="69">
        <v>7.3</v>
      </c>
      <c r="AU48" s="70">
        <v>10.7</v>
      </c>
      <c r="AV48" s="70">
        <v>14.9</v>
      </c>
      <c r="AW48" s="70">
        <v>17.600000000000001</v>
      </c>
      <c r="AX48" s="70">
        <v>20.2</v>
      </c>
      <c r="AY48" s="70">
        <v>22.5</v>
      </c>
      <c r="AZ48" s="70">
        <v>23.8</v>
      </c>
      <c r="BA48" s="70">
        <v>20.5</v>
      </c>
      <c r="BB48" s="70">
        <v>16.399999999999999</v>
      </c>
      <c r="BC48" s="70">
        <v>12.3</v>
      </c>
      <c r="BD48" s="70">
        <v>8.8000000000000007</v>
      </c>
      <c r="BE48" s="70">
        <v>6.3</v>
      </c>
      <c r="BF48" s="70">
        <v>15.1</v>
      </c>
      <c r="BG48" s="78">
        <v>41</v>
      </c>
      <c r="BH48" s="63">
        <v>45</v>
      </c>
      <c r="BI48" s="55">
        <f t="shared" si="0"/>
        <v>59</v>
      </c>
      <c r="BJ48" s="78">
        <v>29</v>
      </c>
      <c r="BK48" s="64">
        <v>30</v>
      </c>
      <c r="BL48" s="71">
        <v>1.23</v>
      </c>
      <c r="BM48" s="71">
        <v>1.1599999999999999</v>
      </c>
      <c r="BN48" s="71">
        <v>1.08</v>
      </c>
      <c r="BO48" s="71">
        <v>0.99</v>
      </c>
      <c r="BP48" s="71">
        <v>0.92</v>
      </c>
      <c r="BQ48" s="71">
        <v>0.9</v>
      </c>
      <c r="BR48" s="71">
        <v>0.92</v>
      </c>
      <c r="BS48" s="56">
        <v>1</v>
      </c>
      <c r="BT48" s="56">
        <v>1.1000000000000001</v>
      </c>
      <c r="BU48" s="56">
        <v>1.21</v>
      </c>
      <c r="BV48" s="56">
        <v>1.28</v>
      </c>
      <c r="BW48" s="56">
        <v>1.28</v>
      </c>
      <c r="BX48" s="55">
        <f t="shared" si="1"/>
        <v>59</v>
      </c>
      <c r="BY48" s="58">
        <v>30</v>
      </c>
    </row>
    <row r="49" spans="38:77" x14ac:dyDescent="0.25">
      <c r="AL49" s="77" t="str">
        <f>IF(AL6&lt;=AM49,AN49," ")</f>
        <v>Septiembre</v>
      </c>
      <c r="AM49" s="74">
        <v>9</v>
      </c>
      <c r="AN49" s="74" t="s">
        <v>39</v>
      </c>
      <c r="AO49" s="74" t="b">
        <f>IF(AM49&gt;=AL6,AM49&lt;=AL8)</f>
        <v>0</v>
      </c>
      <c r="AP49" s="74"/>
      <c r="AQ49" s="98" t="str">
        <f t="shared" si="8"/>
        <v xml:space="preserve"> </v>
      </c>
      <c r="AR49" s="44">
        <v>46</v>
      </c>
      <c r="AS49" s="68" t="s">
        <v>88</v>
      </c>
      <c r="AT49" s="69">
        <v>6.1</v>
      </c>
      <c r="AU49" s="70">
        <v>8.8000000000000007</v>
      </c>
      <c r="AV49" s="70">
        <v>12.9</v>
      </c>
      <c r="AW49" s="70">
        <v>16.7</v>
      </c>
      <c r="AX49" s="70">
        <v>18.399999999999999</v>
      </c>
      <c r="AY49" s="70">
        <v>20.6</v>
      </c>
      <c r="AZ49" s="70">
        <v>21.8</v>
      </c>
      <c r="BA49" s="70">
        <v>20.7</v>
      </c>
      <c r="BB49" s="70">
        <v>16.399999999999999</v>
      </c>
      <c r="BC49" s="70">
        <v>11</v>
      </c>
      <c r="BD49" s="70">
        <v>7.1</v>
      </c>
      <c r="BE49" s="70">
        <v>5.3</v>
      </c>
      <c r="BF49" s="70">
        <v>13.9</v>
      </c>
      <c r="BG49" s="78">
        <v>40.1</v>
      </c>
      <c r="BH49" s="63">
        <v>46</v>
      </c>
      <c r="BI49" s="55">
        <f t="shared" si="0"/>
        <v>64</v>
      </c>
      <c r="BJ49" s="78">
        <v>29</v>
      </c>
      <c r="BK49" s="64">
        <v>35</v>
      </c>
      <c r="BL49" s="71">
        <v>1.24</v>
      </c>
      <c r="BM49" s="71">
        <v>1.17</v>
      </c>
      <c r="BN49" s="71">
        <v>1.07</v>
      </c>
      <c r="BO49" s="71">
        <v>0.97</v>
      </c>
      <c r="BP49" s="71">
        <v>0.89</v>
      </c>
      <c r="BQ49" s="71">
        <v>0.86</v>
      </c>
      <c r="BR49" s="71">
        <v>0.89</v>
      </c>
      <c r="BS49" s="56">
        <v>0.97</v>
      </c>
      <c r="BT49" s="56">
        <v>1.0900000000000001</v>
      </c>
      <c r="BU49" s="56">
        <v>1.22</v>
      </c>
      <c r="BV49" s="56">
        <v>1.3</v>
      </c>
      <c r="BW49" s="56">
        <v>1.3</v>
      </c>
      <c r="BX49" s="55">
        <f t="shared" si="1"/>
        <v>64</v>
      </c>
      <c r="BY49" s="58">
        <v>35</v>
      </c>
    </row>
    <row r="50" spans="38:77" x14ac:dyDescent="0.25">
      <c r="AL50" s="77" t="str">
        <f>IF(AL6&lt;=AM50,AN50," ")</f>
        <v>Octubre</v>
      </c>
      <c r="AM50" s="74">
        <v>10</v>
      </c>
      <c r="AN50" s="74" t="s">
        <v>40</v>
      </c>
      <c r="AO50" s="74" t="b">
        <f>IF(AM50&gt;=AL6,AM50&lt;=AL8)</f>
        <v>0</v>
      </c>
      <c r="AP50" s="74"/>
      <c r="AQ50" s="98" t="str">
        <f t="shared" si="8"/>
        <v xml:space="preserve"> </v>
      </c>
      <c r="AR50" s="44">
        <v>47</v>
      </c>
      <c r="AS50" s="68" t="s">
        <v>89</v>
      </c>
      <c r="AT50" s="69">
        <v>6.2</v>
      </c>
      <c r="AU50" s="70">
        <v>9.5</v>
      </c>
      <c r="AV50" s="70">
        <v>14</v>
      </c>
      <c r="AW50" s="70">
        <v>19.3</v>
      </c>
      <c r="AX50" s="70">
        <v>21</v>
      </c>
      <c r="AY50" s="70">
        <v>24.4</v>
      </c>
      <c r="AZ50" s="70">
        <v>27.2</v>
      </c>
      <c r="BA50" s="70">
        <v>24.5</v>
      </c>
      <c r="BB50" s="70">
        <v>18.100000000000001</v>
      </c>
      <c r="BC50" s="70">
        <v>11.9</v>
      </c>
      <c r="BD50" s="70">
        <v>7.6</v>
      </c>
      <c r="BE50" s="70">
        <v>5.6</v>
      </c>
      <c r="BF50" s="70">
        <v>15.8</v>
      </c>
      <c r="BG50" s="78">
        <v>40.1</v>
      </c>
      <c r="BH50" s="63">
        <v>47</v>
      </c>
      <c r="BI50" s="55">
        <f t="shared" si="0"/>
        <v>69</v>
      </c>
      <c r="BJ50" s="78">
        <v>29</v>
      </c>
      <c r="BK50" s="64">
        <v>40</v>
      </c>
      <c r="BL50" s="71">
        <v>1.25</v>
      </c>
      <c r="BM50" s="71">
        <v>1.1599999999999999</v>
      </c>
      <c r="BN50" s="71">
        <v>1.05</v>
      </c>
      <c r="BO50" s="71">
        <v>0.93</v>
      </c>
      <c r="BP50" s="71">
        <v>0.85</v>
      </c>
      <c r="BQ50" s="71">
        <v>0.81</v>
      </c>
      <c r="BR50" s="71">
        <v>0.85</v>
      </c>
      <c r="BS50" s="56">
        <v>0.94</v>
      </c>
      <c r="BT50" s="56">
        <v>1.07</v>
      </c>
      <c r="BU50" s="56">
        <v>1.22</v>
      </c>
      <c r="BV50" s="56">
        <v>1.32</v>
      </c>
      <c r="BW50" s="56">
        <v>1.31</v>
      </c>
      <c r="BX50" s="55">
        <f t="shared" si="1"/>
        <v>69</v>
      </c>
      <c r="BY50" s="58">
        <v>40</v>
      </c>
    </row>
    <row r="51" spans="38:77" x14ac:dyDescent="0.25">
      <c r="AL51" s="77" t="str">
        <f>IF(AL6&lt;=AM51,AN51," ")</f>
        <v>Noviembre</v>
      </c>
      <c r="AM51" s="74">
        <v>11</v>
      </c>
      <c r="AN51" s="74" t="s">
        <v>41</v>
      </c>
      <c r="AO51" s="74" t="b">
        <f>IF(AM51&gt;=AL6,AM51&lt;=AL8)</f>
        <v>0</v>
      </c>
      <c r="AP51" s="74"/>
      <c r="AQ51" s="98" t="str">
        <f t="shared" si="8"/>
        <v xml:space="preserve"> </v>
      </c>
      <c r="AR51" s="44">
        <v>48</v>
      </c>
      <c r="AS51" s="68" t="s">
        <v>90</v>
      </c>
      <c r="AT51" s="69">
        <v>7.6</v>
      </c>
      <c r="AU51" s="70">
        <v>10.6</v>
      </c>
      <c r="AV51" s="70">
        <v>14.9</v>
      </c>
      <c r="AW51" s="70">
        <v>18.100000000000001</v>
      </c>
      <c r="AX51" s="70">
        <v>20.6</v>
      </c>
      <c r="AY51" s="70">
        <v>22.8</v>
      </c>
      <c r="AZ51" s="70">
        <v>23.8</v>
      </c>
      <c r="BA51" s="70">
        <v>20.7</v>
      </c>
      <c r="BB51" s="70">
        <v>16.7</v>
      </c>
      <c r="BC51" s="70">
        <v>12</v>
      </c>
      <c r="BD51" s="70">
        <v>8.6999999999999993</v>
      </c>
      <c r="BE51" s="70">
        <v>6.6</v>
      </c>
      <c r="BF51" s="70">
        <v>15.3</v>
      </c>
      <c r="BG51" s="78">
        <v>39</v>
      </c>
      <c r="BH51" s="63">
        <v>48</v>
      </c>
      <c r="BI51" s="55">
        <f t="shared" si="0"/>
        <v>74</v>
      </c>
      <c r="BJ51" s="78">
        <v>29</v>
      </c>
      <c r="BK51" s="64">
        <v>45</v>
      </c>
      <c r="BL51" s="71">
        <v>1.24</v>
      </c>
      <c r="BM51" s="71">
        <v>1.1499999999999999</v>
      </c>
      <c r="BN51" s="71">
        <v>1.02</v>
      </c>
      <c r="BO51" s="71">
        <v>0.9</v>
      </c>
      <c r="BP51" s="71">
        <v>0.8</v>
      </c>
      <c r="BQ51" s="71">
        <v>0.76</v>
      </c>
      <c r="BR51" s="71">
        <v>0.8</v>
      </c>
      <c r="BS51" s="56">
        <v>0.9</v>
      </c>
      <c r="BT51" s="56">
        <v>1.05</v>
      </c>
      <c r="BU51" s="56">
        <v>1.21</v>
      </c>
      <c r="BV51" s="56">
        <v>1.32</v>
      </c>
      <c r="BW51" s="56">
        <v>1.32</v>
      </c>
      <c r="BX51" s="55">
        <f t="shared" si="1"/>
        <v>74</v>
      </c>
      <c r="BY51" s="58">
        <v>45</v>
      </c>
    </row>
    <row r="52" spans="38:77" x14ac:dyDescent="0.25">
      <c r="AL52" s="77" t="str">
        <f>IF(AL6&lt;=AM52,AN52," ")</f>
        <v>Diciembre</v>
      </c>
      <c r="AM52" s="74">
        <v>12</v>
      </c>
      <c r="AN52" s="74" t="s">
        <v>42</v>
      </c>
      <c r="AO52" s="74" t="b">
        <f>IF(AM52&gt;=AL6,AM52&lt;=AL8)</f>
        <v>0</v>
      </c>
      <c r="AP52" s="74"/>
      <c r="AQ52" s="98" t="str">
        <f t="shared" si="8"/>
        <v xml:space="preserve"> </v>
      </c>
      <c r="AR52" s="44">
        <v>49</v>
      </c>
      <c r="AS52" s="68" t="s">
        <v>91</v>
      </c>
      <c r="AT52" s="69">
        <v>5.5</v>
      </c>
      <c r="AU52" s="70">
        <v>8.8000000000000007</v>
      </c>
      <c r="AV52" s="70">
        <v>13.9</v>
      </c>
      <c r="AW52" s="70">
        <v>17.2</v>
      </c>
      <c r="AX52" s="70">
        <v>19.899999999999999</v>
      </c>
      <c r="AY52" s="70">
        <v>22.6</v>
      </c>
      <c r="AZ52" s="70">
        <v>25.1</v>
      </c>
      <c r="BA52" s="70">
        <v>23</v>
      </c>
      <c r="BB52" s="70">
        <v>18.3</v>
      </c>
      <c r="BC52" s="70">
        <v>11.2</v>
      </c>
      <c r="BD52" s="70">
        <v>6.9</v>
      </c>
      <c r="BE52" s="70">
        <v>4.2</v>
      </c>
      <c r="BF52" s="70">
        <v>14.7</v>
      </c>
      <c r="BG52" s="78">
        <v>42</v>
      </c>
      <c r="BH52" s="63">
        <v>49</v>
      </c>
      <c r="BI52" s="55">
        <f t="shared" si="0"/>
        <v>79</v>
      </c>
      <c r="BJ52" s="78">
        <v>29</v>
      </c>
      <c r="BK52" s="64">
        <v>50</v>
      </c>
      <c r="BL52" s="71">
        <v>1.23</v>
      </c>
      <c r="BM52" s="71">
        <v>1.1299999999999999</v>
      </c>
      <c r="BN52" s="71">
        <v>0.99</v>
      </c>
      <c r="BO52" s="71">
        <v>0.85</v>
      </c>
      <c r="BP52" s="71">
        <v>0.75</v>
      </c>
      <c r="BQ52" s="71">
        <v>0.71</v>
      </c>
      <c r="BR52" s="71">
        <v>0.74</v>
      </c>
      <c r="BS52" s="56">
        <v>0.85</v>
      </c>
      <c r="BT52" s="56">
        <v>1.02</v>
      </c>
      <c r="BU52" s="56">
        <v>1.19</v>
      </c>
      <c r="BV52" s="56">
        <v>1.31</v>
      </c>
      <c r="BW52" s="56">
        <v>1.31</v>
      </c>
      <c r="BX52" s="55">
        <f t="shared" si="1"/>
        <v>79</v>
      </c>
      <c r="BY52" s="58">
        <v>50</v>
      </c>
    </row>
    <row r="53" spans="38:77" x14ac:dyDescent="0.25">
      <c r="AL53" s="83"/>
      <c r="AM53" s="84"/>
      <c r="AN53" s="84"/>
      <c r="AO53" s="84"/>
      <c r="AP53" s="84"/>
      <c r="AQ53" s="99"/>
      <c r="AR53" s="44">
        <v>50</v>
      </c>
      <c r="AS53" s="68" t="s">
        <v>92</v>
      </c>
      <c r="AT53" s="69">
        <v>5</v>
      </c>
      <c r="AU53" s="70">
        <v>7.1</v>
      </c>
      <c r="AV53" s="70">
        <v>10.8</v>
      </c>
      <c r="AW53" s="70">
        <v>12.7</v>
      </c>
      <c r="AX53" s="70">
        <v>15.5</v>
      </c>
      <c r="AY53" s="70">
        <v>16.7</v>
      </c>
      <c r="AZ53" s="70">
        <v>17.899999999999999</v>
      </c>
      <c r="BA53" s="70">
        <v>15.7</v>
      </c>
      <c r="BB53" s="70">
        <v>13.1</v>
      </c>
      <c r="BC53" s="70">
        <v>9.3000000000000007</v>
      </c>
      <c r="BD53" s="70">
        <v>6</v>
      </c>
      <c r="BE53" s="70">
        <v>4.5999999999999996</v>
      </c>
      <c r="BF53" s="70">
        <v>11.2</v>
      </c>
      <c r="BG53" s="78">
        <v>43</v>
      </c>
      <c r="BH53" s="63">
        <v>50</v>
      </c>
      <c r="BI53" s="55">
        <f t="shared" si="0"/>
        <v>84</v>
      </c>
      <c r="BJ53" s="78">
        <v>29</v>
      </c>
      <c r="BK53" s="64">
        <v>55</v>
      </c>
      <c r="BL53" s="71">
        <v>1.22</v>
      </c>
      <c r="BM53" s="71">
        <v>1.1000000000000001</v>
      </c>
      <c r="BN53" s="71">
        <v>0.95</v>
      </c>
      <c r="BO53" s="71">
        <v>0.8</v>
      </c>
      <c r="BP53" s="71">
        <v>0.69</v>
      </c>
      <c r="BQ53" s="71">
        <v>0.64</v>
      </c>
      <c r="BR53" s="71">
        <v>0.68</v>
      </c>
      <c r="BS53" s="56">
        <v>0.8</v>
      </c>
      <c r="BT53" s="56">
        <v>0.98</v>
      </c>
      <c r="BU53" s="56">
        <v>1.17</v>
      </c>
      <c r="BV53" s="56">
        <v>1.3</v>
      </c>
      <c r="BW53" s="56">
        <v>1.3</v>
      </c>
      <c r="BX53" s="55">
        <f t="shared" si="1"/>
        <v>84</v>
      </c>
      <c r="BY53" s="58">
        <v>55</v>
      </c>
    </row>
    <row r="54" spans="38:77" x14ac:dyDescent="0.25">
      <c r="AR54" s="44">
        <v>51</v>
      </c>
      <c r="AS54" s="68" t="s">
        <v>93</v>
      </c>
      <c r="AT54" s="69">
        <v>5.4</v>
      </c>
      <c r="AU54" s="70">
        <v>8.9</v>
      </c>
      <c r="AV54" s="70">
        <v>13.2</v>
      </c>
      <c r="AW54" s="70">
        <v>17.3</v>
      </c>
      <c r="AX54" s="70">
        <v>22.2</v>
      </c>
      <c r="AY54" s="70">
        <v>21.6</v>
      </c>
      <c r="AZ54" s="70">
        <v>23.5</v>
      </c>
      <c r="BA54" s="70">
        <v>22</v>
      </c>
      <c r="BB54" s="70">
        <v>17.2</v>
      </c>
      <c r="BC54" s="70">
        <v>11.1</v>
      </c>
      <c r="BD54" s="70">
        <v>6.7</v>
      </c>
      <c r="BE54" s="70">
        <v>4.5999999999999996</v>
      </c>
      <c r="BF54" s="70">
        <v>14.5</v>
      </c>
      <c r="BG54" s="78">
        <v>41</v>
      </c>
      <c r="BH54" s="63">
        <v>51</v>
      </c>
      <c r="BI54" s="55">
        <f t="shared" si="0"/>
        <v>89</v>
      </c>
      <c r="BJ54" s="78">
        <v>29</v>
      </c>
      <c r="BK54" s="64">
        <v>60</v>
      </c>
      <c r="BL54" s="71">
        <v>1.19</v>
      </c>
      <c r="BM54" s="71">
        <v>1.07</v>
      </c>
      <c r="BN54" s="71">
        <v>0.91</v>
      </c>
      <c r="BO54" s="71">
        <v>0.75</v>
      </c>
      <c r="BP54" s="71">
        <v>0.63</v>
      </c>
      <c r="BQ54" s="71">
        <v>0.57999999999999996</v>
      </c>
      <c r="BR54" s="71">
        <v>0.62</v>
      </c>
      <c r="BS54" s="56">
        <v>0.75</v>
      </c>
      <c r="BT54" s="56">
        <v>0.93</v>
      </c>
      <c r="BU54" s="56">
        <v>1.1399999999999999</v>
      </c>
      <c r="BV54" s="56">
        <v>1.28</v>
      </c>
      <c r="BW54" s="56">
        <v>1.28</v>
      </c>
      <c r="BX54" s="55">
        <f t="shared" si="1"/>
        <v>89</v>
      </c>
      <c r="BY54" s="58">
        <v>60</v>
      </c>
    </row>
    <row r="55" spans="38:77" x14ac:dyDescent="0.25">
      <c r="AR55" s="44">
        <v>52</v>
      </c>
      <c r="AS55" s="68" t="s">
        <v>94</v>
      </c>
      <c r="AT55" s="69">
        <v>6.3</v>
      </c>
      <c r="AU55" s="70">
        <v>9.8000000000000007</v>
      </c>
      <c r="AV55" s="70">
        <v>15.2</v>
      </c>
      <c r="AW55" s="70">
        <v>18.3</v>
      </c>
      <c r="AX55" s="70">
        <v>21.8</v>
      </c>
      <c r="AY55" s="70">
        <v>24.2</v>
      </c>
      <c r="AZ55" s="70">
        <v>25.1</v>
      </c>
      <c r="BA55" s="70">
        <v>23.4</v>
      </c>
      <c r="BB55" s="70">
        <v>18.3</v>
      </c>
      <c r="BC55" s="70">
        <v>12.1</v>
      </c>
      <c r="BD55" s="70">
        <v>7.4</v>
      </c>
      <c r="BE55" s="70">
        <v>5.7</v>
      </c>
      <c r="BF55" s="70">
        <v>15.6</v>
      </c>
      <c r="BG55" s="78">
        <v>42</v>
      </c>
      <c r="BH55" s="63">
        <v>52</v>
      </c>
      <c r="BI55" s="55">
        <f t="shared" si="0"/>
        <v>94</v>
      </c>
      <c r="BJ55" s="78">
        <v>29</v>
      </c>
      <c r="BK55" s="64">
        <v>65</v>
      </c>
      <c r="BL55" s="71">
        <v>1.1599999999999999</v>
      </c>
      <c r="BM55" s="71">
        <v>1.03</v>
      </c>
      <c r="BN55" s="71">
        <v>0.86</v>
      </c>
      <c r="BO55" s="71">
        <v>0.69</v>
      </c>
      <c r="BP55" s="71">
        <v>0.56000000000000005</v>
      </c>
      <c r="BQ55" s="71">
        <v>0.51</v>
      </c>
      <c r="BR55" s="71">
        <v>0.55000000000000004</v>
      </c>
      <c r="BS55" s="56">
        <v>0.69</v>
      </c>
      <c r="BT55" s="56">
        <v>0.88</v>
      </c>
      <c r="BU55" s="56">
        <v>1.1000000000000001</v>
      </c>
      <c r="BV55" s="56">
        <v>1.24</v>
      </c>
      <c r="BW55" s="56">
        <v>1.25</v>
      </c>
      <c r="BX55" s="55">
        <f t="shared" si="1"/>
        <v>94</v>
      </c>
      <c r="BY55" s="58">
        <v>65</v>
      </c>
    </row>
    <row r="56" spans="38:77" x14ac:dyDescent="0.25">
      <c r="BI56" s="55">
        <f t="shared" si="0"/>
        <v>99</v>
      </c>
      <c r="BJ56" s="78">
        <v>29</v>
      </c>
      <c r="BK56" s="64">
        <v>70</v>
      </c>
      <c r="BL56" s="71">
        <v>1.1200000000000001</v>
      </c>
      <c r="BM56" s="71">
        <v>0.98</v>
      </c>
      <c r="BN56" s="71">
        <v>0.8</v>
      </c>
      <c r="BO56" s="71">
        <v>0.62</v>
      </c>
      <c r="BP56" s="71">
        <v>0.49</v>
      </c>
      <c r="BQ56" s="71">
        <v>0.44</v>
      </c>
      <c r="BR56" s="71">
        <v>0.48</v>
      </c>
      <c r="BS56" s="56">
        <v>0.62</v>
      </c>
      <c r="BT56" s="56">
        <v>0.82</v>
      </c>
      <c r="BU56" s="56">
        <v>1.05</v>
      </c>
      <c r="BV56" s="56">
        <v>1.2</v>
      </c>
      <c r="BW56" s="56">
        <v>1.22</v>
      </c>
      <c r="BX56" s="55">
        <f t="shared" si="1"/>
        <v>99</v>
      </c>
      <c r="BY56" s="58">
        <v>70</v>
      </c>
    </row>
    <row r="57" spans="38:77" x14ac:dyDescent="0.25">
      <c r="BI57" s="55">
        <f t="shared" si="0"/>
        <v>104</v>
      </c>
      <c r="BJ57" s="78">
        <v>29</v>
      </c>
      <c r="BK57" s="64">
        <v>75</v>
      </c>
      <c r="BL57" s="71">
        <v>1.07</v>
      </c>
      <c r="BM57" s="71">
        <v>0.93</v>
      </c>
      <c r="BN57" s="71">
        <v>0.74</v>
      </c>
      <c r="BO57" s="71">
        <v>0.55000000000000004</v>
      </c>
      <c r="BP57" s="71">
        <v>0.42</v>
      </c>
      <c r="BQ57" s="71">
        <v>0.36</v>
      </c>
      <c r="BR57" s="71">
        <v>0.41</v>
      </c>
      <c r="BS57" s="56">
        <v>0.55000000000000004</v>
      </c>
      <c r="BT57" s="56">
        <v>0.76</v>
      </c>
      <c r="BU57" s="56">
        <v>0.99</v>
      </c>
      <c r="BV57" s="56">
        <v>1.1599999999999999</v>
      </c>
      <c r="BW57" s="56">
        <v>1.17</v>
      </c>
      <c r="BX57" s="55">
        <f t="shared" si="1"/>
        <v>104</v>
      </c>
      <c r="BY57" s="58">
        <v>75</v>
      </c>
    </row>
    <row r="58" spans="38:77" x14ac:dyDescent="0.25">
      <c r="BI58" s="55">
        <f t="shared" si="0"/>
        <v>109</v>
      </c>
      <c r="BJ58" s="78">
        <v>29</v>
      </c>
      <c r="BK58" s="64">
        <v>80</v>
      </c>
      <c r="BL58" s="71">
        <v>1.02</v>
      </c>
      <c r="BM58" s="71">
        <v>0.87</v>
      </c>
      <c r="BN58" s="71">
        <v>0.68</v>
      </c>
      <c r="BO58" s="71">
        <v>0.48</v>
      </c>
      <c r="BP58" s="71">
        <v>0.34</v>
      </c>
      <c r="BQ58" s="71">
        <v>0.28000000000000003</v>
      </c>
      <c r="BR58" s="71">
        <v>0.33</v>
      </c>
      <c r="BS58" s="56">
        <v>0.48</v>
      </c>
      <c r="BT58" s="56">
        <v>0.69</v>
      </c>
      <c r="BU58" s="56">
        <v>0.93</v>
      </c>
      <c r="BV58" s="56">
        <v>1.1000000000000001</v>
      </c>
      <c r="BW58" s="56">
        <v>1.1200000000000001</v>
      </c>
      <c r="BX58" s="55">
        <f t="shared" si="1"/>
        <v>109</v>
      </c>
      <c r="BY58" s="58">
        <v>80</v>
      </c>
    </row>
    <row r="59" spans="38:77" x14ac:dyDescent="0.25">
      <c r="AT59" s="100"/>
      <c r="BA59" s="101"/>
      <c r="BF59" s="102"/>
      <c r="BI59" s="55">
        <f t="shared" si="0"/>
        <v>114</v>
      </c>
      <c r="BJ59" s="78">
        <v>29</v>
      </c>
      <c r="BK59" s="64">
        <v>85</v>
      </c>
      <c r="BL59" s="71">
        <v>0.96</v>
      </c>
      <c r="BM59" s="71">
        <v>0.81</v>
      </c>
      <c r="BN59" s="71">
        <v>0.61</v>
      </c>
      <c r="BO59" s="71">
        <v>0.41</v>
      </c>
      <c r="BP59" s="71">
        <v>0.26</v>
      </c>
      <c r="BQ59" s="71">
        <v>0.21</v>
      </c>
      <c r="BR59" s="71">
        <v>0.25</v>
      </c>
      <c r="BS59" s="56">
        <v>0.4</v>
      </c>
      <c r="BT59" s="56">
        <v>0.62</v>
      </c>
      <c r="BU59" s="56">
        <v>0.87</v>
      </c>
      <c r="BV59" s="56">
        <v>1.04</v>
      </c>
      <c r="BW59" s="56">
        <v>1.06</v>
      </c>
      <c r="BX59" s="55">
        <f t="shared" si="1"/>
        <v>114</v>
      </c>
      <c r="BY59" s="58">
        <v>85</v>
      </c>
    </row>
    <row r="60" spans="38:77" x14ac:dyDescent="0.25">
      <c r="BI60" s="55">
        <f t="shared" si="0"/>
        <v>119</v>
      </c>
      <c r="BJ60" s="78">
        <v>29</v>
      </c>
      <c r="BK60" s="64">
        <v>90</v>
      </c>
      <c r="BL60" s="71">
        <v>0.9</v>
      </c>
      <c r="BM60" s="71">
        <v>0.74</v>
      </c>
      <c r="BN60" s="71">
        <v>0.54</v>
      </c>
      <c r="BO60" s="71">
        <v>0.33</v>
      </c>
      <c r="BP60" s="71">
        <v>0.18</v>
      </c>
      <c r="BQ60" s="71">
        <v>0.13</v>
      </c>
      <c r="BR60" s="71">
        <v>0.17</v>
      </c>
      <c r="BS60" s="56">
        <v>0.32</v>
      </c>
      <c r="BT60" s="56">
        <v>0.54</v>
      </c>
      <c r="BU60" s="56">
        <v>0.79</v>
      </c>
      <c r="BV60" s="56">
        <v>0.97</v>
      </c>
      <c r="BW60" s="56">
        <v>1</v>
      </c>
      <c r="BX60" s="55">
        <f t="shared" si="1"/>
        <v>119</v>
      </c>
      <c r="BY60" s="58">
        <v>90</v>
      </c>
    </row>
    <row r="61" spans="38:77" x14ac:dyDescent="0.25">
      <c r="BI61" s="55">
        <f t="shared" si="0"/>
        <v>30.3</v>
      </c>
      <c r="BJ61" s="78">
        <v>30.3</v>
      </c>
      <c r="BK61" s="64">
        <v>0</v>
      </c>
      <c r="BL61" s="56">
        <v>1</v>
      </c>
      <c r="BM61" s="57">
        <v>1</v>
      </c>
      <c r="BN61" s="57">
        <v>1</v>
      </c>
      <c r="BO61" s="57">
        <v>1</v>
      </c>
      <c r="BP61" s="57">
        <v>1</v>
      </c>
      <c r="BQ61" s="57">
        <v>1</v>
      </c>
      <c r="BR61" s="57">
        <v>1</v>
      </c>
      <c r="BS61" s="56">
        <v>1</v>
      </c>
      <c r="BT61" s="56">
        <v>1</v>
      </c>
      <c r="BU61" s="56">
        <v>1</v>
      </c>
      <c r="BV61" s="56">
        <v>1</v>
      </c>
      <c r="BW61" s="56">
        <v>1</v>
      </c>
      <c r="BX61" s="55">
        <f t="shared" si="1"/>
        <v>30.3</v>
      </c>
      <c r="BY61" s="58">
        <v>0</v>
      </c>
    </row>
    <row r="62" spans="38:77" x14ac:dyDescent="0.25">
      <c r="AU62" s="103"/>
      <c r="AZ62" s="104"/>
      <c r="BI62" s="55">
        <f t="shared" si="0"/>
        <v>35.299999999999997</v>
      </c>
      <c r="BJ62" s="78">
        <v>30.3</v>
      </c>
      <c r="BK62" s="64">
        <v>5</v>
      </c>
      <c r="BL62" s="64">
        <v>1.06</v>
      </c>
      <c r="BM62" s="71">
        <v>1.05</v>
      </c>
      <c r="BN62" s="71">
        <v>1.03</v>
      </c>
      <c r="BO62" s="71">
        <v>1.02</v>
      </c>
      <c r="BP62" s="71">
        <v>1.01</v>
      </c>
      <c r="BQ62" s="71">
        <v>1</v>
      </c>
      <c r="BR62" s="71">
        <v>1.01</v>
      </c>
      <c r="BS62" s="56">
        <v>1.02</v>
      </c>
      <c r="BT62" s="56">
        <v>1.04</v>
      </c>
      <c r="BU62" s="56">
        <v>1.06</v>
      </c>
      <c r="BV62" s="56">
        <v>1.07</v>
      </c>
      <c r="BW62" s="56">
        <v>1.07</v>
      </c>
      <c r="BX62" s="55">
        <f t="shared" si="1"/>
        <v>35.299999999999997</v>
      </c>
      <c r="BY62" s="58">
        <v>5</v>
      </c>
    </row>
    <row r="63" spans="38:77" x14ac:dyDescent="0.25">
      <c r="BI63" s="55">
        <f t="shared" si="0"/>
        <v>40.299999999999997</v>
      </c>
      <c r="BJ63" s="78">
        <v>30.3</v>
      </c>
      <c r="BK63" s="64">
        <v>10</v>
      </c>
      <c r="BL63" s="64">
        <v>1.1100000000000001</v>
      </c>
      <c r="BM63" s="71">
        <v>1.08</v>
      </c>
      <c r="BN63" s="71">
        <v>1.06</v>
      </c>
      <c r="BO63" s="71">
        <v>1.03</v>
      </c>
      <c r="BP63" s="71">
        <v>1</v>
      </c>
      <c r="BQ63" s="71">
        <v>1</v>
      </c>
      <c r="BR63" s="71">
        <v>1</v>
      </c>
      <c r="BS63" s="56">
        <v>1.03</v>
      </c>
      <c r="BT63" s="56">
        <v>1.07</v>
      </c>
      <c r="BU63" s="56">
        <v>1.1000000000000001</v>
      </c>
      <c r="BV63" s="56">
        <v>1.1299999999999999</v>
      </c>
      <c r="BW63" s="56">
        <v>1.1200000000000001</v>
      </c>
      <c r="BX63" s="55">
        <f t="shared" si="1"/>
        <v>40.299999999999997</v>
      </c>
      <c r="BY63" s="58">
        <v>10</v>
      </c>
    </row>
    <row r="64" spans="38:77" x14ac:dyDescent="0.25">
      <c r="BI64" s="55">
        <f t="shared" si="0"/>
        <v>45.3</v>
      </c>
      <c r="BJ64" s="78">
        <v>30.3</v>
      </c>
      <c r="BK64" s="64">
        <v>15</v>
      </c>
      <c r="BL64" s="64">
        <v>1.1499999999999999</v>
      </c>
      <c r="BM64" s="71">
        <v>1.1200000000000001</v>
      </c>
      <c r="BN64" s="71">
        <v>1.07</v>
      </c>
      <c r="BO64" s="71">
        <v>1.03</v>
      </c>
      <c r="BP64" s="71">
        <v>1</v>
      </c>
      <c r="BQ64" s="71">
        <v>0.98</v>
      </c>
      <c r="BR64" s="71">
        <v>1</v>
      </c>
      <c r="BS64" s="56">
        <v>1.03</v>
      </c>
      <c r="BT64" s="56">
        <v>1.0900000000000001</v>
      </c>
      <c r="BU64" s="56">
        <v>1.1499999999999999</v>
      </c>
      <c r="BV64" s="56">
        <v>1.18</v>
      </c>
      <c r="BW64" s="56">
        <v>1.18</v>
      </c>
      <c r="BX64" s="55">
        <f t="shared" si="1"/>
        <v>45.3</v>
      </c>
      <c r="BY64" s="58">
        <v>15</v>
      </c>
    </row>
    <row r="65" spans="61:77" x14ac:dyDescent="0.25">
      <c r="BI65" s="55">
        <f t="shared" si="0"/>
        <v>50.3</v>
      </c>
      <c r="BJ65" s="78">
        <v>30.3</v>
      </c>
      <c r="BK65" s="64">
        <v>20</v>
      </c>
      <c r="BL65" s="64">
        <v>1.19</v>
      </c>
      <c r="BM65" s="71">
        <v>1.1399999999999999</v>
      </c>
      <c r="BN65" s="71">
        <v>1.0900000000000001</v>
      </c>
      <c r="BO65" s="71">
        <v>1.03</v>
      </c>
      <c r="BP65" s="71">
        <v>0.98</v>
      </c>
      <c r="BQ65" s="71">
        <v>0.96</v>
      </c>
      <c r="BR65" s="71">
        <v>0.98</v>
      </c>
      <c r="BS65" s="56">
        <v>1.03</v>
      </c>
      <c r="BT65" s="56">
        <v>1.1000000000000001</v>
      </c>
      <c r="BU65" s="56">
        <v>1.18</v>
      </c>
      <c r="BV65" s="56">
        <v>1.23</v>
      </c>
      <c r="BW65" s="56">
        <v>1.22</v>
      </c>
      <c r="BX65" s="55">
        <f t="shared" si="1"/>
        <v>50.3</v>
      </c>
      <c r="BY65" s="58">
        <v>20</v>
      </c>
    </row>
    <row r="66" spans="61:77" x14ac:dyDescent="0.25">
      <c r="BI66" s="55">
        <f t="shared" si="0"/>
        <v>55.3</v>
      </c>
      <c r="BJ66" s="78">
        <v>30.3</v>
      </c>
      <c r="BK66" s="64">
        <v>25</v>
      </c>
      <c r="BL66" s="64">
        <v>1.22</v>
      </c>
      <c r="BM66" s="71">
        <v>1.1599999999999999</v>
      </c>
      <c r="BN66" s="71">
        <v>1.0900000000000001</v>
      </c>
      <c r="BO66" s="71">
        <v>1.02</v>
      </c>
      <c r="BP66" s="71">
        <v>0.96</v>
      </c>
      <c r="BQ66" s="71">
        <v>0.94</v>
      </c>
      <c r="BR66" s="71">
        <v>0.96</v>
      </c>
      <c r="BS66" s="56">
        <v>1.02</v>
      </c>
      <c r="BT66" s="56">
        <v>1.1100000000000001</v>
      </c>
      <c r="BU66" s="56">
        <v>1.2</v>
      </c>
      <c r="BV66" s="56">
        <v>1.27</v>
      </c>
      <c r="BW66" s="56">
        <v>1.26</v>
      </c>
      <c r="BX66" s="55">
        <f t="shared" si="1"/>
        <v>55.3</v>
      </c>
      <c r="BY66" s="58">
        <v>25</v>
      </c>
    </row>
    <row r="67" spans="61:77" x14ac:dyDescent="0.25">
      <c r="BI67" s="55">
        <f t="shared" si="0"/>
        <v>60.3</v>
      </c>
      <c r="BJ67" s="78">
        <v>30.3</v>
      </c>
      <c r="BK67" s="64">
        <v>30</v>
      </c>
      <c r="BL67" s="64">
        <v>1.24</v>
      </c>
      <c r="BM67" s="71">
        <v>1.17</v>
      </c>
      <c r="BN67" s="71">
        <v>1.0900000000000001</v>
      </c>
      <c r="BO67" s="71">
        <v>1</v>
      </c>
      <c r="BP67" s="71">
        <v>0.93</v>
      </c>
      <c r="BQ67" s="71">
        <v>0.91</v>
      </c>
      <c r="BR67" s="71">
        <v>0.93</v>
      </c>
      <c r="BS67" s="56">
        <v>1</v>
      </c>
      <c r="BT67" s="56">
        <v>1.1100000000000001</v>
      </c>
      <c r="BU67" s="56">
        <v>1.2</v>
      </c>
      <c r="BV67" s="56">
        <v>1.3</v>
      </c>
      <c r="BW67" s="56">
        <v>1.29</v>
      </c>
      <c r="BX67" s="55">
        <f t="shared" si="1"/>
        <v>60.3</v>
      </c>
      <c r="BY67" s="58">
        <v>30</v>
      </c>
    </row>
    <row r="68" spans="61:77" x14ac:dyDescent="0.25">
      <c r="BI68" s="55">
        <f t="shared" si="0"/>
        <v>65.3</v>
      </c>
      <c r="BJ68" s="78">
        <v>30.3</v>
      </c>
      <c r="BK68" s="64">
        <v>35</v>
      </c>
      <c r="BL68" s="64">
        <v>1.25</v>
      </c>
      <c r="BM68" s="71">
        <v>1.17</v>
      </c>
      <c r="BN68" s="71">
        <v>1.08</v>
      </c>
      <c r="BO68" s="71">
        <v>0.97</v>
      </c>
      <c r="BP68" s="71">
        <v>0.9</v>
      </c>
      <c r="BQ68" s="71">
        <v>0.87</v>
      </c>
      <c r="BR68" s="71">
        <v>0.9</v>
      </c>
      <c r="BS68" s="56">
        <v>0.98</v>
      </c>
      <c r="BT68" s="56">
        <v>1.1000000000000001</v>
      </c>
      <c r="BU68" s="56">
        <v>1.23</v>
      </c>
      <c r="BV68" s="56">
        <v>1.32</v>
      </c>
      <c r="BW68" s="56">
        <v>1.31</v>
      </c>
      <c r="BX68" s="55">
        <f t="shared" si="1"/>
        <v>65.3</v>
      </c>
      <c r="BY68" s="58">
        <v>35</v>
      </c>
    </row>
    <row r="69" spans="61:77" x14ac:dyDescent="0.25">
      <c r="BI69" s="55">
        <f t="shared" ref="BI69:BI132" si="9">BJ69+BK69</f>
        <v>70.3</v>
      </c>
      <c r="BJ69" s="78">
        <v>30.3</v>
      </c>
      <c r="BK69" s="64">
        <v>40</v>
      </c>
      <c r="BL69" s="64">
        <v>1.26</v>
      </c>
      <c r="BM69" s="71">
        <v>1.17</v>
      </c>
      <c r="BN69" s="71">
        <v>1.06</v>
      </c>
      <c r="BO69" s="71">
        <v>0.94</v>
      </c>
      <c r="BP69" s="71">
        <v>0.86</v>
      </c>
      <c r="BQ69" s="71">
        <v>0.82</v>
      </c>
      <c r="BR69" s="71">
        <v>0.85</v>
      </c>
      <c r="BS69" s="56">
        <v>0.95</v>
      </c>
      <c r="BT69" s="56">
        <v>1.08</v>
      </c>
      <c r="BU69" s="56">
        <v>1.23</v>
      </c>
      <c r="BV69" s="56">
        <v>1.33</v>
      </c>
      <c r="BW69" s="56">
        <v>1.33</v>
      </c>
      <c r="BX69" s="55">
        <f t="shared" ref="BX69:BX132" si="10">BJ69+BK69</f>
        <v>70.3</v>
      </c>
      <c r="BY69" s="58">
        <v>40</v>
      </c>
    </row>
    <row r="70" spans="61:77" x14ac:dyDescent="0.25">
      <c r="BI70" s="55">
        <f t="shared" si="9"/>
        <v>75.3</v>
      </c>
      <c r="BJ70" s="78">
        <v>30.3</v>
      </c>
      <c r="BK70" s="64">
        <v>45</v>
      </c>
      <c r="BL70" s="64">
        <v>1.26</v>
      </c>
      <c r="BM70" s="71">
        <v>1.1599999999999999</v>
      </c>
      <c r="BN70" s="71">
        <v>1.04</v>
      </c>
      <c r="BO70" s="71">
        <v>0.91</v>
      </c>
      <c r="BP70" s="71">
        <v>0.81</v>
      </c>
      <c r="BQ70" s="71">
        <v>0.77</v>
      </c>
      <c r="BR70" s="71">
        <v>0.81</v>
      </c>
      <c r="BS70" s="56">
        <v>0.91</v>
      </c>
      <c r="BT70" s="56">
        <v>1.06</v>
      </c>
      <c r="BU70" s="56">
        <v>1.22</v>
      </c>
      <c r="BV70" s="56">
        <v>1.33</v>
      </c>
      <c r="BW70" s="56">
        <v>1.33</v>
      </c>
      <c r="BX70" s="55">
        <f t="shared" si="10"/>
        <v>75.3</v>
      </c>
      <c r="BY70" s="58">
        <v>45</v>
      </c>
    </row>
    <row r="71" spans="61:77" x14ac:dyDescent="0.25">
      <c r="BI71" s="55">
        <f t="shared" si="9"/>
        <v>80.3</v>
      </c>
      <c r="BJ71" s="78">
        <v>30.3</v>
      </c>
      <c r="BK71" s="64">
        <v>50</v>
      </c>
      <c r="BL71" s="64">
        <v>1.25</v>
      </c>
      <c r="BM71" s="71">
        <v>1.1399999999999999</v>
      </c>
      <c r="BN71" s="71">
        <v>1</v>
      </c>
      <c r="BO71" s="71">
        <v>0.86</v>
      </c>
      <c r="BP71" s="71">
        <v>0.76</v>
      </c>
      <c r="BQ71" s="71">
        <v>0.72</v>
      </c>
      <c r="BR71" s="71">
        <v>0.75</v>
      </c>
      <c r="BS71" s="56">
        <v>0.87</v>
      </c>
      <c r="BT71" s="56">
        <v>1.03</v>
      </c>
      <c r="BU71" s="56">
        <v>1.21</v>
      </c>
      <c r="BV71" s="56">
        <v>1.33</v>
      </c>
      <c r="BW71" s="56">
        <v>1.33</v>
      </c>
      <c r="BX71" s="55">
        <f t="shared" si="10"/>
        <v>80.3</v>
      </c>
      <c r="BY71" s="58">
        <v>50</v>
      </c>
    </row>
    <row r="72" spans="61:77" x14ac:dyDescent="0.25">
      <c r="BI72" s="55">
        <f t="shared" si="9"/>
        <v>85.3</v>
      </c>
      <c r="BJ72" s="78">
        <v>30.3</v>
      </c>
      <c r="BK72" s="64">
        <v>55</v>
      </c>
      <c r="BL72" s="64">
        <v>1.23</v>
      </c>
      <c r="BM72" s="71">
        <v>1.1200000000000001</v>
      </c>
      <c r="BN72" s="71">
        <v>0.97</v>
      </c>
      <c r="BO72" s="71">
        <v>0.81</v>
      </c>
      <c r="BP72" s="71">
        <v>0.7</v>
      </c>
      <c r="BQ72" s="71">
        <v>0.66</v>
      </c>
      <c r="BR72" s="71">
        <v>0.7</v>
      </c>
      <c r="BS72" s="56">
        <v>0.82</v>
      </c>
      <c r="BT72" s="56">
        <v>0.99</v>
      </c>
      <c r="BU72" s="56">
        <v>1.19</v>
      </c>
      <c r="BV72" s="56">
        <v>1.32</v>
      </c>
      <c r="BW72" s="56">
        <v>1.32</v>
      </c>
      <c r="BX72" s="55">
        <f t="shared" si="10"/>
        <v>85.3</v>
      </c>
      <c r="BY72" s="58">
        <v>55</v>
      </c>
    </row>
    <row r="73" spans="61:77" x14ac:dyDescent="0.25">
      <c r="BI73" s="55">
        <f t="shared" si="9"/>
        <v>90.3</v>
      </c>
      <c r="BJ73" s="78">
        <v>30.3</v>
      </c>
      <c r="BK73" s="64">
        <v>60</v>
      </c>
      <c r="BL73" s="64">
        <v>1.21</v>
      </c>
      <c r="BM73" s="71">
        <v>1.08</v>
      </c>
      <c r="BN73" s="71">
        <v>0.92</v>
      </c>
      <c r="BO73" s="71">
        <v>0.76</v>
      </c>
      <c r="BP73" s="71">
        <v>0.64</v>
      </c>
      <c r="BQ73" s="71">
        <v>0.59</v>
      </c>
      <c r="BR73" s="71">
        <v>0.63</v>
      </c>
      <c r="BS73" s="56">
        <v>0.76</v>
      </c>
      <c r="BT73" s="56">
        <v>0.95</v>
      </c>
      <c r="BU73" s="56">
        <v>1.1499999999999999</v>
      </c>
      <c r="BV73" s="56">
        <v>1.3</v>
      </c>
      <c r="BW73" s="56">
        <v>1.3</v>
      </c>
      <c r="BX73" s="55">
        <f t="shared" si="10"/>
        <v>90.3</v>
      </c>
      <c r="BY73" s="58">
        <v>60</v>
      </c>
    </row>
    <row r="74" spans="61:77" x14ac:dyDescent="0.25">
      <c r="BI74" s="55">
        <f t="shared" si="9"/>
        <v>95.3</v>
      </c>
      <c r="BJ74" s="78">
        <v>30.3</v>
      </c>
      <c r="BK74" s="64">
        <v>65</v>
      </c>
      <c r="BL74" s="64">
        <v>1.18</v>
      </c>
      <c r="BM74" s="71">
        <v>1.04</v>
      </c>
      <c r="BN74" s="71">
        <v>0.87</v>
      </c>
      <c r="BO74" s="71">
        <v>0.7</v>
      </c>
      <c r="BP74" s="71">
        <v>0.56999999999999995</v>
      </c>
      <c r="BQ74" s="71">
        <v>0.52</v>
      </c>
      <c r="BR74" s="71">
        <v>0.56999999999999995</v>
      </c>
      <c r="BS74" s="56">
        <v>0.7</v>
      </c>
      <c r="BT74" s="56">
        <v>0.9</v>
      </c>
      <c r="BU74" s="56">
        <v>1.1100000000000001</v>
      </c>
      <c r="BV74" s="56">
        <v>1.27</v>
      </c>
      <c r="BW74" s="56">
        <v>1.27</v>
      </c>
      <c r="BX74" s="55">
        <f t="shared" si="10"/>
        <v>95.3</v>
      </c>
      <c r="BY74" s="58">
        <v>65</v>
      </c>
    </row>
    <row r="75" spans="61:77" x14ac:dyDescent="0.25">
      <c r="BI75" s="55">
        <f t="shared" si="9"/>
        <v>100.3</v>
      </c>
      <c r="BJ75" s="78">
        <v>30.3</v>
      </c>
      <c r="BK75" s="64">
        <v>70</v>
      </c>
      <c r="BL75" s="64">
        <v>1.1399999999999999</v>
      </c>
      <c r="BM75" s="71">
        <v>1</v>
      </c>
      <c r="BN75" s="71">
        <v>0.82</v>
      </c>
      <c r="BO75" s="71">
        <v>0.64</v>
      </c>
      <c r="BP75" s="71">
        <v>0.5</v>
      </c>
      <c r="BQ75" s="71">
        <v>0.45</v>
      </c>
      <c r="BR75" s="71">
        <v>0.5</v>
      </c>
      <c r="BS75" s="56">
        <v>0.63</v>
      </c>
      <c r="BT75" s="56">
        <v>0.84</v>
      </c>
      <c r="BU75" s="56">
        <v>1.07</v>
      </c>
      <c r="BV75" s="56">
        <v>1.23</v>
      </c>
      <c r="BW75" s="56">
        <v>1.24</v>
      </c>
      <c r="BX75" s="55">
        <f t="shared" si="10"/>
        <v>100.3</v>
      </c>
      <c r="BY75" s="58">
        <v>70</v>
      </c>
    </row>
    <row r="76" spans="61:77" x14ac:dyDescent="0.25">
      <c r="BI76" s="55">
        <f t="shared" si="9"/>
        <v>105.3</v>
      </c>
      <c r="BJ76" s="78">
        <v>30.3</v>
      </c>
      <c r="BK76" s="64">
        <v>75</v>
      </c>
      <c r="BL76" s="64">
        <v>1.0900000000000001</v>
      </c>
      <c r="BM76" s="71">
        <v>0.95</v>
      </c>
      <c r="BN76" s="71">
        <v>0.76</v>
      </c>
      <c r="BO76" s="71">
        <v>0.56999999999999995</v>
      </c>
      <c r="BP76" s="71">
        <v>0.43</v>
      </c>
      <c r="BQ76" s="71">
        <v>0.38</v>
      </c>
      <c r="BR76" s="71">
        <v>0.42</v>
      </c>
      <c r="BS76" s="56">
        <v>0.56000000000000005</v>
      </c>
      <c r="BT76" s="56">
        <v>0.78</v>
      </c>
      <c r="BU76" s="56">
        <v>1.01</v>
      </c>
      <c r="BV76" s="56">
        <v>1.18</v>
      </c>
      <c r="BW76" s="56">
        <v>1.19</v>
      </c>
      <c r="BX76" s="55">
        <f t="shared" si="10"/>
        <v>105.3</v>
      </c>
      <c r="BY76" s="58">
        <v>75</v>
      </c>
    </row>
    <row r="77" spans="61:77" x14ac:dyDescent="0.25">
      <c r="BI77" s="55">
        <f t="shared" si="9"/>
        <v>110.3</v>
      </c>
      <c r="BJ77" s="78">
        <v>30.3</v>
      </c>
      <c r="BK77" s="64">
        <v>80</v>
      </c>
      <c r="BL77" s="64">
        <v>1.04</v>
      </c>
      <c r="BM77" s="71">
        <v>0.89</v>
      </c>
      <c r="BN77" s="71">
        <v>0.69</v>
      </c>
      <c r="BO77" s="71">
        <v>0.5</v>
      </c>
      <c r="BP77" s="71">
        <v>0.35</v>
      </c>
      <c r="BQ77" s="71">
        <v>0.3</v>
      </c>
      <c r="BR77" s="71">
        <v>0.35</v>
      </c>
      <c r="BS77" s="56">
        <v>0.49</v>
      </c>
      <c r="BT77" s="56">
        <v>0.71</v>
      </c>
      <c r="BU77" s="56">
        <v>0.95</v>
      </c>
      <c r="BV77" s="56">
        <v>1.1299999999999999</v>
      </c>
      <c r="BW77" s="56">
        <v>1.1399999999999999</v>
      </c>
      <c r="BX77" s="55">
        <f t="shared" si="10"/>
        <v>110.3</v>
      </c>
      <c r="BY77" s="58">
        <v>80</v>
      </c>
    </row>
    <row r="78" spans="61:77" x14ac:dyDescent="0.25">
      <c r="BI78" s="55">
        <f t="shared" si="9"/>
        <v>115.3</v>
      </c>
      <c r="BJ78" s="78">
        <v>30.3</v>
      </c>
      <c r="BK78" s="64">
        <v>85</v>
      </c>
      <c r="BL78" s="64">
        <v>0.98</v>
      </c>
      <c r="BM78" s="71">
        <v>0.83</v>
      </c>
      <c r="BN78" s="71">
        <v>0.63</v>
      </c>
      <c r="BO78" s="71">
        <v>0.42</v>
      </c>
      <c r="BP78" s="71">
        <v>0.28000000000000003</v>
      </c>
      <c r="BQ78" s="71">
        <v>0.22</v>
      </c>
      <c r="BR78" s="71">
        <v>0.27</v>
      </c>
      <c r="BS78" s="56">
        <v>0.42</v>
      </c>
      <c r="BT78" s="56">
        <v>0.64</v>
      </c>
      <c r="BU78" s="56">
        <v>0.89</v>
      </c>
      <c r="BV78" s="56">
        <v>1.07</v>
      </c>
      <c r="BW78" s="56">
        <v>1.0900000000000001</v>
      </c>
      <c r="BX78" s="55">
        <f t="shared" si="10"/>
        <v>115.3</v>
      </c>
      <c r="BY78" s="58">
        <v>85</v>
      </c>
    </row>
    <row r="79" spans="61:77" x14ac:dyDescent="0.25">
      <c r="BI79" s="55">
        <f t="shared" si="9"/>
        <v>120.3</v>
      </c>
      <c r="BJ79" s="78">
        <v>30.3</v>
      </c>
      <c r="BK79" s="64">
        <v>90</v>
      </c>
      <c r="BL79" s="64">
        <v>0.92</v>
      </c>
      <c r="BM79" s="71">
        <v>0.76</v>
      </c>
      <c r="BN79" s="71">
        <v>0.55000000000000004</v>
      </c>
      <c r="BO79" s="71">
        <v>0.35</v>
      </c>
      <c r="BP79" s="71">
        <v>0.2</v>
      </c>
      <c r="BQ79" s="71">
        <v>0.14000000000000001</v>
      </c>
      <c r="BR79" s="71">
        <v>0.19</v>
      </c>
      <c r="BS79" s="56">
        <v>0.34</v>
      </c>
      <c r="BT79" s="56">
        <v>0.56000000000000005</v>
      </c>
      <c r="BU79" s="56">
        <v>0.81</v>
      </c>
      <c r="BV79" s="56">
        <v>1</v>
      </c>
      <c r="BW79" s="56">
        <v>1.02</v>
      </c>
      <c r="BX79" s="55">
        <f t="shared" si="10"/>
        <v>120.3</v>
      </c>
      <c r="BY79" s="58">
        <v>90</v>
      </c>
    </row>
    <row r="80" spans="61:77" x14ac:dyDescent="0.25">
      <c r="BI80" s="55">
        <f t="shared" si="9"/>
        <v>35.200000000000003</v>
      </c>
      <c r="BJ80" s="78">
        <v>35.200000000000003</v>
      </c>
      <c r="BK80" s="64">
        <v>0</v>
      </c>
      <c r="BL80" s="56">
        <v>1</v>
      </c>
      <c r="BM80" s="57">
        <v>1</v>
      </c>
      <c r="BN80" s="57">
        <v>1</v>
      </c>
      <c r="BO80" s="57">
        <v>1</v>
      </c>
      <c r="BP80" s="57">
        <v>1</v>
      </c>
      <c r="BQ80" s="57">
        <v>1</v>
      </c>
      <c r="BR80" s="56">
        <v>1</v>
      </c>
      <c r="BS80" s="56">
        <v>1</v>
      </c>
      <c r="BT80" s="56">
        <v>1</v>
      </c>
      <c r="BU80" s="56">
        <v>1</v>
      </c>
      <c r="BV80" s="56">
        <v>1</v>
      </c>
      <c r="BW80" s="56">
        <v>1</v>
      </c>
      <c r="BX80" s="55">
        <f t="shared" si="10"/>
        <v>35.200000000000003</v>
      </c>
      <c r="BY80" s="58">
        <v>0</v>
      </c>
    </row>
    <row r="81" spans="61:77" x14ac:dyDescent="0.25">
      <c r="BI81" s="55">
        <f t="shared" si="9"/>
        <v>40.200000000000003</v>
      </c>
      <c r="BJ81" s="78">
        <v>35.200000000000003</v>
      </c>
      <c r="BK81" s="64">
        <v>5</v>
      </c>
      <c r="BL81" s="64">
        <v>1.06</v>
      </c>
      <c r="BM81" s="71">
        <v>1.05</v>
      </c>
      <c r="BN81" s="71">
        <v>1.04</v>
      </c>
      <c r="BO81" s="71">
        <v>1.02</v>
      </c>
      <c r="BP81" s="71">
        <v>1.01</v>
      </c>
      <c r="BQ81" s="71">
        <v>1.01</v>
      </c>
      <c r="BR81" s="56">
        <v>1.01</v>
      </c>
      <c r="BS81" s="56">
        <v>1.03</v>
      </c>
      <c r="BT81" s="56">
        <v>1.04</v>
      </c>
      <c r="BU81" s="56">
        <v>1.06</v>
      </c>
      <c r="BV81" s="56">
        <v>1.08</v>
      </c>
      <c r="BW81" s="56">
        <v>1.07</v>
      </c>
      <c r="BX81" s="55">
        <f t="shared" si="10"/>
        <v>40.200000000000003</v>
      </c>
      <c r="BY81" s="58">
        <v>5</v>
      </c>
    </row>
    <row r="82" spans="61:77" x14ac:dyDescent="0.25">
      <c r="BI82" s="55">
        <f t="shared" si="9"/>
        <v>45.2</v>
      </c>
      <c r="BJ82" s="78">
        <v>35.200000000000003</v>
      </c>
      <c r="BK82" s="64">
        <v>10</v>
      </c>
      <c r="BL82" s="64">
        <v>1.1200000000000001</v>
      </c>
      <c r="BM82" s="71">
        <v>1.1000000000000001</v>
      </c>
      <c r="BN82" s="71">
        <v>1.07</v>
      </c>
      <c r="BO82" s="71">
        <v>1.04</v>
      </c>
      <c r="BP82" s="71">
        <v>1.02</v>
      </c>
      <c r="BQ82" s="71">
        <v>1.01</v>
      </c>
      <c r="BR82" s="56">
        <v>1.02</v>
      </c>
      <c r="BS82" s="56">
        <v>1.04</v>
      </c>
      <c r="BT82" s="56">
        <v>1.08</v>
      </c>
      <c r="BU82" s="56">
        <v>1.1200000000000001</v>
      </c>
      <c r="BV82" s="56">
        <v>1.1499999999999999</v>
      </c>
      <c r="BW82" s="56">
        <v>1.1399999999999999</v>
      </c>
      <c r="BX82" s="55">
        <f t="shared" si="10"/>
        <v>45.2</v>
      </c>
      <c r="BY82" s="58">
        <v>10</v>
      </c>
    </row>
    <row r="83" spans="61:77" x14ac:dyDescent="0.25">
      <c r="BI83" s="55">
        <f t="shared" si="9"/>
        <v>50.2</v>
      </c>
      <c r="BJ83" s="78">
        <v>35.200000000000003</v>
      </c>
      <c r="BK83" s="64">
        <v>15</v>
      </c>
      <c r="BL83" s="64">
        <v>1.17</v>
      </c>
      <c r="BM83" s="71">
        <v>1.1399999999999999</v>
      </c>
      <c r="BN83" s="71">
        <v>1.0900000000000001</v>
      </c>
      <c r="BO83" s="71">
        <v>1.05</v>
      </c>
      <c r="BP83" s="71">
        <v>1.02</v>
      </c>
      <c r="BQ83" s="71">
        <v>1</v>
      </c>
      <c r="BR83" s="56">
        <v>1.02</v>
      </c>
      <c r="BS83" s="56">
        <v>1.05</v>
      </c>
      <c r="BT83" s="56">
        <v>1.1100000000000001</v>
      </c>
      <c r="BU83" s="56">
        <v>1.17</v>
      </c>
      <c r="BV83" s="56">
        <v>1.21</v>
      </c>
      <c r="BW83" s="56">
        <v>1.21</v>
      </c>
      <c r="BX83" s="55">
        <f t="shared" si="10"/>
        <v>50.2</v>
      </c>
      <c r="BY83" s="58">
        <v>15</v>
      </c>
    </row>
    <row r="84" spans="61:77" x14ac:dyDescent="0.25">
      <c r="BI84" s="55">
        <f t="shared" si="9"/>
        <v>55.2</v>
      </c>
      <c r="BJ84" s="78">
        <v>35.200000000000003</v>
      </c>
      <c r="BK84" s="64">
        <v>20</v>
      </c>
      <c r="BL84" s="64">
        <v>1.22</v>
      </c>
      <c r="BM84" s="71">
        <v>1.17</v>
      </c>
      <c r="BN84" s="71">
        <v>1.1100000000000001</v>
      </c>
      <c r="BO84" s="71">
        <v>1.05</v>
      </c>
      <c r="BP84" s="71">
        <v>1.01</v>
      </c>
      <c r="BQ84" s="71">
        <v>0.99</v>
      </c>
      <c r="BR84" s="56">
        <v>1.01</v>
      </c>
      <c r="BS84" s="56">
        <v>1.06</v>
      </c>
      <c r="BT84" s="56">
        <v>1.1299999999999999</v>
      </c>
      <c r="BU84" s="56">
        <v>1.22</v>
      </c>
      <c r="BV84" s="56">
        <v>1.27</v>
      </c>
      <c r="BW84" s="56">
        <v>1.26</v>
      </c>
      <c r="BX84" s="55">
        <f t="shared" si="10"/>
        <v>55.2</v>
      </c>
      <c r="BY84" s="58">
        <v>20</v>
      </c>
    </row>
    <row r="85" spans="61:77" x14ac:dyDescent="0.25">
      <c r="BI85" s="55">
        <f t="shared" si="9"/>
        <v>60.2</v>
      </c>
      <c r="BJ85" s="78">
        <v>35.200000000000003</v>
      </c>
      <c r="BK85" s="64">
        <v>25</v>
      </c>
      <c r="BL85" s="64">
        <v>1.25</v>
      </c>
      <c r="BM85" s="71">
        <v>1.2</v>
      </c>
      <c r="BN85" s="71">
        <v>1.1200000000000001</v>
      </c>
      <c r="BO85" s="71">
        <v>1.05</v>
      </c>
      <c r="BP85" s="71">
        <v>0.99</v>
      </c>
      <c r="BQ85" s="71">
        <v>0.97</v>
      </c>
      <c r="BR85" s="56">
        <v>0.99</v>
      </c>
      <c r="BS85" s="56">
        <v>1.05</v>
      </c>
      <c r="BT85" s="56">
        <v>1.1499999999999999</v>
      </c>
      <c r="BU85" s="56">
        <v>1.25</v>
      </c>
      <c r="BV85" s="56">
        <v>1.32</v>
      </c>
      <c r="BW85" s="56">
        <v>1.31</v>
      </c>
      <c r="BX85" s="55">
        <f t="shared" si="10"/>
        <v>60.2</v>
      </c>
      <c r="BY85" s="58">
        <v>25</v>
      </c>
    </row>
    <row r="86" spans="61:77" x14ac:dyDescent="0.25">
      <c r="BI86" s="55">
        <f t="shared" si="9"/>
        <v>65.2</v>
      </c>
      <c r="BJ86" s="78">
        <v>35.200000000000003</v>
      </c>
      <c r="BK86" s="64">
        <v>30</v>
      </c>
      <c r="BL86" s="64">
        <v>1.28</v>
      </c>
      <c r="BM86" s="71">
        <v>1.21</v>
      </c>
      <c r="BN86" s="71">
        <v>1.1299999999999999</v>
      </c>
      <c r="BO86" s="71">
        <v>1.04</v>
      </c>
      <c r="BP86" s="71">
        <v>0.97</v>
      </c>
      <c r="BQ86" s="71">
        <v>0.94</v>
      </c>
      <c r="BR86" s="56">
        <v>0.97</v>
      </c>
      <c r="BS86" s="56">
        <v>1.04</v>
      </c>
      <c r="BT86" s="56">
        <v>1.1499999999999999</v>
      </c>
      <c r="BU86" s="56">
        <v>1.28</v>
      </c>
      <c r="BV86" s="56">
        <v>1.36</v>
      </c>
      <c r="BW86" s="56">
        <v>1.35</v>
      </c>
      <c r="BX86" s="55">
        <f t="shared" si="10"/>
        <v>65.2</v>
      </c>
      <c r="BY86" s="58">
        <v>30</v>
      </c>
    </row>
    <row r="87" spans="61:77" x14ac:dyDescent="0.25">
      <c r="BI87" s="55">
        <f t="shared" si="9"/>
        <v>70.2</v>
      </c>
      <c r="BJ87" s="78">
        <v>35.200000000000003</v>
      </c>
      <c r="BK87" s="64">
        <v>35</v>
      </c>
      <c r="BL87" s="64">
        <v>1.31</v>
      </c>
      <c r="BM87" s="71">
        <v>1.22</v>
      </c>
      <c r="BN87" s="71">
        <v>1.1200000000000001</v>
      </c>
      <c r="BO87" s="71">
        <v>1.02</v>
      </c>
      <c r="BP87" s="71">
        <v>0.94</v>
      </c>
      <c r="BQ87" s="71">
        <v>0.91</v>
      </c>
      <c r="BR87" s="56">
        <v>0.94</v>
      </c>
      <c r="BS87" s="56">
        <v>1.02</v>
      </c>
      <c r="BT87" s="56">
        <v>1.1499999999999999</v>
      </c>
      <c r="BU87" s="56">
        <v>1.29</v>
      </c>
      <c r="BV87" s="56">
        <v>1.39</v>
      </c>
      <c r="BW87" s="56">
        <v>1.38</v>
      </c>
      <c r="BX87" s="55">
        <f t="shared" si="10"/>
        <v>70.2</v>
      </c>
      <c r="BY87" s="58">
        <v>35</v>
      </c>
    </row>
    <row r="88" spans="61:77" x14ac:dyDescent="0.25">
      <c r="BI88" s="55">
        <f t="shared" si="9"/>
        <v>75.2</v>
      </c>
      <c r="BJ88" s="78">
        <v>35.200000000000003</v>
      </c>
      <c r="BK88" s="64">
        <v>40</v>
      </c>
      <c r="BL88" s="64">
        <v>1.32</v>
      </c>
      <c r="BM88" s="71">
        <v>1.23</v>
      </c>
      <c r="BN88" s="71">
        <v>1.1100000000000001</v>
      </c>
      <c r="BO88" s="71">
        <v>0.99</v>
      </c>
      <c r="BP88" s="71">
        <v>0.9</v>
      </c>
      <c r="BQ88" s="71">
        <v>0.87</v>
      </c>
      <c r="BR88" s="56">
        <v>0.9</v>
      </c>
      <c r="BS88" s="56">
        <v>1</v>
      </c>
      <c r="BT88" s="56">
        <v>1.1399999999999999</v>
      </c>
      <c r="BU88" s="56">
        <v>1.3</v>
      </c>
      <c r="BV88" s="56">
        <v>1.41</v>
      </c>
      <c r="BW88" s="56">
        <v>1.4</v>
      </c>
      <c r="BX88" s="55">
        <f t="shared" si="10"/>
        <v>75.2</v>
      </c>
      <c r="BY88" s="58">
        <v>40</v>
      </c>
    </row>
    <row r="89" spans="61:77" x14ac:dyDescent="0.25">
      <c r="BI89" s="55">
        <f t="shared" si="9"/>
        <v>80.2</v>
      </c>
      <c r="BJ89" s="78">
        <v>35.200000000000003</v>
      </c>
      <c r="BK89" s="64">
        <v>45</v>
      </c>
      <c r="BL89" s="64">
        <v>1.33</v>
      </c>
      <c r="BM89" s="71">
        <v>1.22</v>
      </c>
      <c r="BN89" s="71">
        <v>1.0900000000000001</v>
      </c>
      <c r="BO89" s="71">
        <v>0.96</v>
      </c>
      <c r="BP89" s="71">
        <v>0.86</v>
      </c>
      <c r="BQ89" s="71">
        <v>0.82</v>
      </c>
      <c r="BR89" s="56">
        <v>0.86</v>
      </c>
      <c r="BS89" s="56">
        <v>0.97</v>
      </c>
      <c r="BT89" s="56">
        <v>1.1299999999999999</v>
      </c>
      <c r="BU89" s="56">
        <v>1.3</v>
      </c>
      <c r="BV89" s="56">
        <v>1.42</v>
      </c>
      <c r="BW89" s="56">
        <v>1.41</v>
      </c>
      <c r="BX89" s="55">
        <f t="shared" si="10"/>
        <v>80.2</v>
      </c>
      <c r="BY89" s="58">
        <v>45</v>
      </c>
    </row>
    <row r="90" spans="61:77" x14ac:dyDescent="0.25">
      <c r="BI90" s="55">
        <f t="shared" si="9"/>
        <v>85.2</v>
      </c>
      <c r="BJ90" s="78">
        <v>35.200000000000003</v>
      </c>
      <c r="BK90" s="64">
        <v>50</v>
      </c>
      <c r="BL90" s="64">
        <v>1.32</v>
      </c>
      <c r="BM90" s="71">
        <v>1.21</v>
      </c>
      <c r="BN90" s="71">
        <v>1.07</v>
      </c>
      <c r="BO90" s="71">
        <v>0.92</v>
      </c>
      <c r="BP90" s="71">
        <v>0.81</v>
      </c>
      <c r="BQ90" s="71">
        <v>0.77</v>
      </c>
      <c r="BR90" s="56">
        <v>0.81</v>
      </c>
      <c r="BS90" s="56">
        <v>0.93</v>
      </c>
      <c r="BT90" s="56">
        <v>1.1000000000000001</v>
      </c>
      <c r="BU90" s="56">
        <v>1.3</v>
      </c>
      <c r="BV90" s="56">
        <v>1.43</v>
      </c>
      <c r="BW90" s="56">
        <v>1.42</v>
      </c>
      <c r="BX90" s="55">
        <f t="shared" si="10"/>
        <v>85.2</v>
      </c>
      <c r="BY90" s="58">
        <v>50</v>
      </c>
    </row>
    <row r="91" spans="61:77" x14ac:dyDescent="0.25">
      <c r="BI91" s="55">
        <f t="shared" si="9"/>
        <v>90.2</v>
      </c>
      <c r="BJ91" s="78">
        <v>35.200000000000003</v>
      </c>
      <c r="BK91" s="64">
        <v>55</v>
      </c>
      <c r="BL91" s="64">
        <v>1.31</v>
      </c>
      <c r="BM91" s="71">
        <v>1.19</v>
      </c>
      <c r="BN91" s="71">
        <v>1.03</v>
      </c>
      <c r="BO91" s="71">
        <v>0.87</v>
      </c>
      <c r="BP91" s="71">
        <v>0.76</v>
      </c>
      <c r="BQ91" s="71">
        <v>0.72</v>
      </c>
      <c r="BR91" s="56">
        <v>0.76</v>
      </c>
      <c r="BS91" s="56">
        <v>0.88</v>
      </c>
      <c r="BT91" s="56">
        <v>1.07</v>
      </c>
      <c r="BU91" s="56">
        <v>1.28</v>
      </c>
      <c r="BV91" s="56">
        <v>1.42</v>
      </c>
      <c r="BW91" s="56">
        <v>1.41</v>
      </c>
      <c r="BX91" s="55">
        <f t="shared" si="10"/>
        <v>90.2</v>
      </c>
      <c r="BY91" s="58">
        <v>55</v>
      </c>
    </row>
    <row r="92" spans="61:77" x14ac:dyDescent="0.25">
      <c r="BI92" s="55">
        <f t="shared" si="9"/>
        <v>95.2</v>
      </c>
      <c r="BJ92" s="78">
        <v>35.200000000000003</v>
      </c>
      <c r="BK92" s="64">
        <v>60</v>
      </c>
      <c r="BL92" s="64">
        <v>1.29</v>
      </c>
      <c r="BM92" s="71">
        <v>1.1599999999999999</v>
      </c>
      <c r="BN92" s="71">
        <v>0.99</v>
      </c>
      <c r="BO92" s="71">
        <v>0.82</v>
      </c>
      <c r="BP92" s="71">
        <v>0.7</v>
      </c>
      <c r="BQ92" s="71">
        <v>0.66</v>
      </c>
      <c r="BR92" s="56">
        <v>0.7</v>
      </c>
      <c r="BS92" s="56">
        <v>0.83</v>
      </c>
      <c r="BT92" s="56">
        <v>1.03</v>
      </c>
      <c r="BU92" s="56">
        <v>1.25</v>
      </c>
      <c r="BV92" s="56">
        <v>1.41</v>
      </c>
      <c r="BW92" s="56">
        <v>1.4</v>
      </c>
      <c r="BX92" s="55">
        <f t="shared" si="10"/>
        <v>95.2</v>
      </c>
      <c r="BY92" s="58">
        <v>60</v>
      </c>
    </row>
    <row r="93" spans="61:77" x14ac:dyDescent="0.25">
      <c r="BI93" s="55">
        <f t="shared" si="9"/>
        <v>100.2</v>
      </c>
      <c r="BJ93" s="78">
        <v>35.200000000000003</v>
      </c>
      <c r="BK93" s="64">
        <v>65</v>
      </c>
      <c r="BL93" s="64">
        <v>1.27</v>
      </c>
      <c r="BM93" s="71">
        <v>1.1200000000000001</v>
      </c>
      <c r="BN93" s="71">
        <v>0.95</v>
      </c>
      <c r="BO93" s="71">
        <v>0.77</v>
      </c>
      <c r="BP93" s="71">
        <v>0.64</v>
      </c>
      <c r="BQ93" s="71">
        <v>0.59</v>
      </c>
      <c r="BR93" s="56">
        <v>0.64</v>
      </c>
      <c r="BS93" s="56">
        <v>0.77</v>
      </c>
      <c r="BT93" s="56">
        <v>0.98</v>
      </c>
      <c r="BU93" s="56">
        <v>1.22</v>
      </c>
      <c r="BV93" s="56">
        <v>1.38</v>
      </c>
      <c r="BW93" s="56">
        <v>1.38</v>
      </c>
      <c r="BX93" s="55">
        <f t="shared" si="10"/>
        <v>100.2</v>
      </c>
      <c r="BY93" s="58">
        <v>65</v>
      </c>
    </row>
    <row r="94" spans="61:77" x14ac:dyDescent="0.25">
      <c r="BI94" s="55">
        <f t="shared" si="9"/>
        <v>105.2</v>
      </c>
      <c r="BJ94" s="78">
        <v>35.200000000000003</v>
      </c>
      <c r="BK94" s="64">
        <v>70</v>
      </c>
      <c r="BL94" s="64">
        <v>1.23</v>
      </c>
      <c r="BM94" s="71">
        <v>1.08</v>
      </c>
      <c r="BN94" s="71">
        <v>0.9</v>
      </c>
      <c r="BO94" s="71">
        <v>0.71</v>
      </c>
      <c r="BP94" s="71">
        <v>0.56999999999999995</v>
      </c>
      <c r="BQ94" s="71">
        <v>0.52</v>
      </c>
      <c r="BR94" s="56">
        <v>0.56999999999999995</v>
      </c>
      <c r="BS94" s="56">
        <v>0.71</v>
      </c>
      <c r="BT94" s="56">
        <v>0.93</v>
      </c>
      <c r="BU94" s="56">
        <v>1.18</v>
      </c>
      <c r="BV94" s="56">
        <v>1.35</v>
      </c>
      <c r="BW94" s="56">
        <v>1.35</v>
      </c>
      <c r="BX94" s="55">
        <f t="shared" si="10"/>
        <v>105.2</v>
      </c>
      <c r="BY94" s="58">
        <v>70</v>
      </c>
    </row>
    <row r="95" spans="61:77" x14ac:dyDescent="0.25">
      <c r="BI95" s="55">
        <f t="shared" si="9"/>
        <v>110.2</v>
      </c>
      <c r="BJ95" s="78">
        <v>35.200000000000003</v>
      </c>
      <c r="BK95" s="64">
        <v>75</v>
      </c>
      <c r="BL95" s="64">
        <v>1.19</v>
      </c>
      <c r="BM95" s="71">
        <v>1.03</v>
      </c>
      <c r="BN95" s="71">
        <v>0.84</v>
      </c>
      <c r="BO95" s="71">
        <v>0.64</v>
      </c>
      <c r="BP95" s="71">
        <v>0.5</v>
      </c>
      <c r="BQ95" s="71">
        <v>0.45</v>
      </c>
      <c r="BR95" s="56">
        <v>0.5</v>
      </c>
      <c r="BS95" s="56">
        <v>0.64</v>
      </c>
      <c r="BT95" s="56">
        <v>0.87</v>
      </c>
      <c r="BU95" s="56">
        <v>1.1299999999999999</v>
      </c>
      <c r="BV95" s="56">
        <v>1.31</v>
      </c>
      <c r="BW95" s="56">
        <v>1.31</v>
      </c>
      <c r="BX95" s="55">
        <f t="shared" si="10"/>
        <v>110.2</v>
      </c>
      <c r="BY95" s="58">
        <v>75</v>
      </c>
    </row>
    <row r="96" spans="61:77" x14ac:dyDescent="0.25">
      <c r="BI96" s="55">
        <f t="shared" si="9"/>
        <v>115.2</v>
      </c>
      <c r="BJ96" s="78">
        <v>35.200000000000003</v>
      </c>
      <c r="BK96" s="64">
        <v>80</v>
      </c>
      <c r="BL96" s="64">
        <v>1.1399999999999999</v>
      </c>
      <c r="BM96" s="71">
        <v>0.98</v>
      </c>
      <c r="BN96" s="71">
        <v>0.78</v>
      </c>
      <c r="BO96" s="71">
        <v>0.56999999999999995</v>
      </c>
      <c r="BP96" s="71">
        <v>0.43</v>
      </c>
      <c r="BQ96" s="71">
        <v>0.37</v>
      </c>
      <c r="BR96" s="56">
        <v>0.42</v>
      </c>
      <c r="BS96" s="56">
        <v>0.56999999999999995</v>
      </c>
      <c r="BT96" s="56">
        <v>0.8</v>
      </c>
      <c r="BU96" s="56">
        <v>1.07</v>
      </c>
      <c r="BV96" s="56">
        <v>1.26</v>
      </c>
      <c r="BW96" s="56">
        <v>1.26</v>
      </c>
      <c r="BX96" s="55">
        <f t="shared" si="10"/>
        <v>115.2</v>
      </c>
      <c r="BY96" s="58">
        <v>80</v>
      </c>
    </row>
    <row r="97" spans="61:77" x14ac:dyDescent="0.25">
      <c r="BI97" s="55">
        <f t="shared" si="9"/>
        <v>120.2</v>
      </c>
      <c r="BJ97" s="78">
        <v>35.200000000000003</v>
      </c>
      <c r="BK97" s="64">
        <v>85</v>
      </c>
      <c r="BL97" s="64">
        <v>1.0900000000000001</v>
      </c>
      <c r="BM97" s="71">
        <v>0.92</v>
      </c>
      <c r="BN97" s="71">
        <v>0.71</v>
      </c>
      <c r="BO97" s="71">
        <v>0.5</v>
      </c>
      <c r="BP97" s="71">
        <v>0.34</v>
      </c>
      <c r="BQ97" s="71">
        <v>0.28999999999999998</v>
      </c>
      <c r="BR97" s="56">
        <v>0.34</v>
      </c>
      <c r="BS97" s="56">
        <v>0.5</v>
      </c>
      <c r="BT97" s="56">
        <v>0.73</v>
      </c>
      <c r="BU97" s="56">
        <v>1</v>
      </c>
      <c r="BV97" s="56">
        <v>1.2</v>
      </c>
      <c r="BW97" s="56">
        <v>1.21</v>
      </c>
      <c r="BX97" s="55">
        <f t="shared" si="10"/>
        <v>120.2</v>
      </c>
      <c r="BY97" s="58">
        <v>85</v>
      </c>
    </row>
    <row r="98" spans="61:77" x14ac:dyDescent="0.25">
      <c r="BI98" s="55">
        <f t="shared" si="9"/>
        <v>125.2</v>
      </c>
      <c r="BJ98" s="78">
        <v>35.200000000000003</v>
      </c>
      <c r="BK98" s="64">
        <v>90</v>
      </c>
      <c r="BL98" s="64">
        <v>1.02</v>
      </c>
      <c r="BM98" s="71">
        <v>0.85</v>
      </c>
      <c r="BN98" s="71">
        <v>0.64</v>
      </c>
      <c r="BO98" s="71">
        <v>0.42</v>
      </c>
      <c r="BP98" s="71">
        <v>0.27</v>
      </c>
      <c r="BQ98" s="71">
        <v>0.21</v>
      </c>
      <c r="BR98" s="56">
        <v>0.26</v>
      </c>
      <c r="BS98" s="56">
        <v>0.42</v>
      </c>
      <c r="BT98" s="56">
        <v>0.66</v>
      </c>
      <c r="BU98" s="56">
        <v>0.93</v>
      </c>
      <c r="BV98" s="56">
        <v>1.1299999999999999</v>
      </c>
      <c r="BW98" s="56">
        <v>1.1499999999999999</v>
      </c>
      <c r="BX98" s="55">
        <f t="shared" si="10"/>
        <v>125.2</v>
      </c>
      <c r="BY98" s="58">
        <v>90</v>
      </c>
    </row>
    <row r="99" spans="61:77" x14ac:dyDescent="0.25">
      <c r="BI99" s="55">
        <f t="shared" si="9"/>
        <v>36</v>
      </c>
      <c r="BJ99" s="78">
        <v>36</v>
      </c>
      <c r="BK99" s="64">
        <v>0</v>
      </c>
      <c r="BL99" s="56">
        <v>1</v>
      </c>
      <c r="BM99" s="57">
        <v>1</v>
      </c>
      <c r="BN99" s="57">
        <v>1</v>
      </c>
      <c r="BO99" s="57">
        <v>1</v>
      </c>
      <c r="BP99" s="57">
        <v>1</v>
      </c>
      <c r="BQ99" s="57">
        <v>1</v>
      </c>
      <c r="BR99" s="57">
        <v>1</v>
      </c>
      <c r="BS99" s="57">
        <v>1</v>
      </c>
      <c r="BT99" s="57">
        <v>1</v>
      </c>
      <c r="BU99" s="57">
        <v>1</v>
      </c>
      <c r="BV99" s="57">
        <v>1</v>
      </c>
      <c r="BW99" s="57">
        <v>1</v>
      </c>
      <c r="BX99" s="55">
        <f t="shared" si="10"/>
        <v>36</v>
      </c>
      <c r="BY99" s="58">
        <v>0</v>
      </c>
    </row>
    <row r="100" spans="61:77" x14ac:dyDescent="0.25">
      <c r="BI100" s="55">
        <f t="shared" si="9"/>
        <v>41</v>
      </c>
      <c r="BJ100" s="78">
        <v>36</v>
      </c>
      <c r="BK100" s="64">
        <v>5</v>
      </c>
      <c r="BL100" s="64">
        <v>1.07</v>
      </c>
      <c r="BM100" s="71">
        <v>1.05</v>
      </c>
      <c r="BN100" s="71">
        <v>1.04</v>
      </c>
      <c r="BO100" s="71">
        <v>1.02</v>
      </c>
      <c r="BP100" s="71">
        <v>1.01</v>
      </c>
      <c r="BQ100" s="71">
        <v>1.01</v>
      </c>
      <c r="BR100" s="71">
        <v>1.01</v>
      </c>
      <c r="BS100" s="71">
        <v>1.03</v>
      </c>
      <c r="BT100" s="71">
        <v>1.05</v>
      </c>
      <c r="BU100" s="71">
        <v>1.07</v>
      </c>
      <c r="BV100" s="71">
        <v>1.08</v>
      </c>
      <c r="BW100" s="71">
        <v>1.08</v>
      </c>
      <c r="BX100" s="55">
        <f t="shared" si="10"/>
        <v>41</v>
      </c>
      <c r="BY100" s="58">
        <v>5</v>
      </c>
    </row>
    <row r="101" spans="61:77" x14ac:dyDescent="0.25">
      <c r="BI101" s="55">
        <f t="shared" si="9"/>
        <v>46</v>
      </c>
      <c r="BJ101" s="78">
        <v>36</v>
      </c>
      <c r="BK101" s="64">
        <v>10</v>
      </c>
      <c r="BL101" s="64">
        <v>1.1299999999999999</v>
      </c>
      <c r="BM101" s="71">
        <v>1.1000000000000001</v>
      </c>
      <c r="BN101" s="71">
        <v>1.07</v>
      </c>
      <c r="BO101" s="71">
        <v>1.04</v>
      </c>
      <c r="BP101" s="71">
        <v>1.02</v>
      </c>
      <c r="BQ101" s="71">
        <v>1.01</v>
      </c>
      <c r="BR101" s="71">
        <v>1.02</v>
      </c>
      <c r="BS101" s="71">
        <v>1.05</v>
      </c>
      <c r="BT101" s="71">
        <v>1.08</v>
      </c>
      <c r="BU101" s="71">
        <v>1.1299999999999999</v>
      </c>
      <c r="BV101" s="71">
        <v>1.1499999999999999</v>
      </c>
      <c r="BW101" s="71">
        <v>1.1499999999999999</v>
      </c>
      <c r="BX101" s="55">
        <f t="shared" si="10"/>
        <v>46</v>
      </c>
      <c r="BY101" s="58">
        <v>10</v>
      </c>
    </row>
    <row r="102" spans="61:77" x14ac:dyDescent="0.25">
      <c r="BI102" s="55">
        <f t="shared" si="9"/>
        <v>51</v>
      </c>
      <c r="BJ102" s="78">
        <v>36</v>
      </c>
      <c r="BK102" s="64">
        <v>15</v>
      </c>
      <c r="BL102" s="64">
        <v>1.18</v>
      </c>
      <c r="BM102" s="71">
        <v>1.1399999999999999</v>
      </c>
      <c r="BN102" s="71">
        <v>1.1000000000000001</v>
      </c>
      <c r="BO102" s="71">
        <v>1.05</v>
      </c>
      <c r="BP102" s="71">
        <v>1.02</v>
      </c>
      <c r="BQ102" s="71">
        <v>1.01</v>
      </c>
      <c r="BR102" s="71">
        <v>1.02</v>
      </c>
      <c r="BS102" s="71">
        <v>1.06</v>
      </c>
      <c r="BT102" s="71">
        <v>1.1200000000000001</v>
      </c>
      <c r="BU102" s="71">
        <v>1.18</v>
      </c>
      <c r="BV102" s="71">
        <v>1.22</v>
      </c>
      <c r="BW102" s="71">
        <v>1.21</v>
      </c>
      <c r="BX102" s="55">
        <f t="shared" si="10"/>
        <v>51</v>
      </c>
      <c r="BY102" s="58">
        <v>15</v>
      </c>
    </row>
    <row r="103" spans="61:77" x14ac:dyDescent="0.25">
      <c r="BI103" s="55">
        <f t="shared" si="9"/>
        <v>56</v>
      </c>
      <c r="BJ103" s="78">
        <v>36</v>
      </c>
      <c r="BK103" s="64">
        <v>20</v>
      </c>
      <c r="BL103" s="64">
        <v>1.22</v>
      </c>
      <c r="BM103" s="71">
        <v>1.18</v>
      </c>
      <c r="BN103" s="71">
        <v>1.1200000000000001</v>
      </c>
      <c r="BO103" s="71">
        <v>1.06</v>
      </c>
      <c r="BP103" s="71">
        <v>1.01</v>
      </c>
      <c r="BQ103" s="71">
        <v>0.99</v>
      </c>
      <c r="BR103" s="71">
        <v>1.01</v>
      </c>
      <c r="BS103" s="71">
        <v>1.06</v>
      </c>
      <c r="BT103" s="71">
        <v>1.1399999999999999</v>
      </c>
      <c r="BU103" s="71">
        <v>1.22</v>
      </c>
      <c r="BV103" s="71">
        <v>1.28</v>
      </c>
      <c r="BW103" s="71">
        <v>1.27</v>
      </c>
      <c r="BX103" s="55">
        <f t="shared" si="10"/>
        <v>56</v>
      </c>
      <c r="BY103" s="58">
        <v>20</v>
      </c>
    </row>
    <row r="104" spans="61:77" x14ac:dyDescent="0.25">
      <c r="BI104" s="55">
        <f t="shared" si="9"/>
        <v>61</v>
      </c>
      <c r="BJ104" s="78">
        <v>36</v>
      </c>
      <c r="BK104" s="64">
        <v>25</v>
      </c>
      <c r="BL104" s="64">
        <v>1.26</v>
      </c>
      <c r="BM104" s="71">
        <v>1.2</v>
      </c>
      <c r="BN104" s="71">
        <v>1.1299999999999999</v>
      </c>
      <c r="BO104" s="71">
        <v>1.05</v>
      </c>
      <c r="BP104" s="71">
        <v>1</v>
      </c>
      <c r="BQ104" s="71">
        <v>0.98</v>
      </c>
      <c r="BR104" s="71">
        <v>1</v>
      </c>
      <c r="BS104" s="71">
        <v>1.06</v>
      </c>
      <c r="BT104" s="71">
        <v>1.1599999999999999</v>
      </c>
      <c r="BU104" s="71">
        <v>1.26</v>
      </c>
      <c r="BV104" s="71">
        <v>1.33</v>
      </c>
      <c r="BW104" s="71">
        <v>1.32</v>
      </c>
      <c r="BX104" s="55">
        <f t="shared" si="10"/>
        <v>61</v>
      </c>
      <c r="BY104" s="58">
        <v>25</v>
      </c>
    </row>
    <row r="105" spans="61:77" x14ac:dyDescent="0.25">
      <c r="BI105" s="55">
        <f t="shared" si="9"/>
        <v>66</v>
      </c>
      <c r="BJ105" s="78">
        <v>36</v>
      </c>
      <c r="BK105" s="64">
        <v>30</v>
      </c>
      <c r="BL105" s="64">
        <v>1.29</v>
      </c>
      <c r="BM105" s="71">
        <v>1.22</v>
      </c>
      <c r="BN105" s="71">
        <v>1.1299999999999999</v>
      </c>
      <c r="BO105" s="71">
        <v>1.04</v>
      </c>
      <c r="BP105" s="71">
        <v>0.98</v>
      </c>
      <c r="BQ105" s="71">
        <v>0.95</v>
      </c>
      <c r="BR105" s="71">
        <v>0.98</v>
      </c>
      <c r="BS105" s="71">
        <v>1.05</v>
      </c>
      <c r="BT105" s="71">
        <v>1.1599999999999999</v>
      </c>
      <c r="BU105" s="71">
        <v>1.29</v>
      </c>
      <c r="BV105" s="71">
        <v>1.37</v>
      </c>
      <c r="BW105" s="71">
        <v>1.36</v>
      </c>
      <c r="BX105" s="55">
        <f t="shared" si="10"/>
        <v>66</v>
      </c>
      <c r="BY105" s="58">
        <v>30</v>
      </c>
    </row>
    <row r="106" spans="61:77" x14ac:dyDescent="0.25">
      <c r="BI106" s="55">
        <f t="shared" si="9"/>
        <v>71</v>
      </c>
      <c r="BJ106" s="78">
        <v>36</v>
      </c>
      <c r="BK106" s="64">
        <v>35</v>
      </c>
      <c r="BL106" s="64">
        <v>1.32</v>
      </c>
      <c r="BM106" s="71">
        <v>1.23</v>
      </c>
      <c r="BN106" s="71">
        <v>1.1299999999999999</v>
      </c>
      <c r="BO106" s="71">
        <v>1.02</v>
      </c>
      <c r="BP106" s="71">
        <v>0.95</v>
      </c>
      <c r="BQ106" s="71">
        <v>0.92</v>
      </c>
      <c r="BR106" s="71">
        <v>0.95</v>
      </c>
      <c r="BS106" s="71">
        <v>1.03</v>
      </c>
      <c r="BT106" s="71">
        <v>1.1599999999999999</v>
      </c>
      <c r="BU106" s="71">
        <v>1.31</v>
      </c>
      <c r="BV106" s="71">
        <v>1.4</v>
      </c>
      <c r="BW106" s="71">
        <v>1.39</v>
      </c>
      <c r="BX106" s="55">
        <f t="shared" si="10"/>
        <v>71</v>
      </c>
      <c r="BY106" s="58">
        <v>35</v>
      </c>
    </row>
    <row r="107" spans="61:77" x14ac:dyDescent="0.25">
      <c r="BI107" s="55">
        <f t="shared" si="9"/>
        <v>76</v>
      </c>
      <c r="BJ107" s="78">
        <v>36</v>
      </c>
      <c r="BK107" s="64">
        <v>40</v>
      </c>
      <c r="BL107" s="64">
        <v>1.33</v>
      </c>
      <c r="BM107" s="71">
        <v>1.24</v>
      </c>
      <c r="BN107" s="71">
        <v>1.1200000000000001</v>
      </c>
      <c r="BO107" s="71">
        <v>1</v>
      </c>
      <c r="BP107" s="71">
        <v>0.91</v>
      </c>
      <c r="BQ107" s="71">
        <v>0.88</v>
      </c>
      <c r="BR107" s="71">
        <v>0.91</v>
      </c>
      <c r="BS107" s="71">
        <v>1.01</v>
      </c>
      <c r="BT107" s="71">
        <v>1.1599999999999999</v>
      </c>
      <c r="BU107" s="71">
        <v>1.32</v>
      </c>
      <c r="BV107" s="71">
        <v>1.43</v>
      </c>
      <c r="BW107" s="71">
        <v>1.41</v>
      </c>
      <c r="BX107" s="55">
        <f t="shared" si="10"/>
        <v>76</v>
      </c>
      <c r="BY107" s="58">
        <v>40</v>
      </c>
    </row>
    <row r="108" spans="61:77" x14ac:dyDescent="0.25">
      <c r="BI108" s="55">
        <f t="shared" si="9"/>
        <v>81</v>
      </c>
      <c r="BJ108" s="78">
        <v>36</v>
      </c>
      <c r="BK108" s="64">
        <v>45</v>
      </c>
      <c r="BL108" s="64">
        <v>1.34</v>
      </c>
      <c r="BM108" s="71">
        <v>1.23</v>
      </c>
      <c r="BN108" s="71">
        <v>1.1000000000000001</v>
      </c>
      <c r="BO108" s="71">
        <v>0.97</v>
      </c>
      <c r="BP108" s="71">
        <v>0.87</v>
      </c>
      <c r="BQ108" s="71">
        <v>0.84</v>
      </c>
      <c r="BR108" s="71">
        <v>0.87</v>
      </c>
      <c r="BS108" s="71">
        <v>0.98</v>
      </c>
      <c r="BT108" s="71">
        <v>1.1399999999999999</v>
      </c>
      <c r="BU108" s="71">
        <v>1.32</v>
      </c>
      <c r="BV108" s="71">
        <v>1.44</v>
      </c>
      <c r="BW108" s="71">
        <v>1.43</v>
      </c>
      <c r="BX108" s="55">
        <f t="shared" si="10"/>
        <v>81</v>
      </c>
      <c r="BY108" s="58">
        <v>45</v>
      </c>
    </row>
    <row r="109" spans="61:77" x14ac:dyDescent="0.25">
      <c r="BI109" s="55">
        <f t="shared" si="9"/>
        <v>86</v>
      </c>
      <c r="BJ109" s="78">
        <v>36</v>
      </c>
      <c r="BK109" s="64">
        <v>50</v>
      </c>
      <c r="BL109" s="64">
        <v>1.34</v>
      </c>
      <c r="BM109" s="71">
        <v>1.22</v>
      </c>
      <c r="BN109" s="71">
        <v>1.08</v>
      </c>
      <c r="BO109" s="71">
        <v>0.93</v>
      </c>
      <c r="BP109" s="71">
        <v>0.82</v>
      </c>
      <c r="BQ109" s="71">
        <v>0.78</v>
      </c>
      <c r="BR109" s="71">
        <v>0.82</v>
      </c>
      <c r="BS109" s="71">
        <v>0.94</v>
      </c>
      <c r="BT109" s="71">
        <v>1.1200000000000001</v>
      </c>
      <c r="BU109" s="71">
        <v>1.31</v>
      </c>
      <c r="BV109" s="71">
        <v>1.45</v>
      </c>
      <c r="BW109" s="71">
        <v>1.44</v>
      </c>
      <c r="BX109" s="55">
        <f t="shared" si="10"/>
        <v>86</v>
      </c>
      <c r="BY109" s="58">
        <v>50</v>
      </c>
    </row>
    <row r="110" spans="61:77" x14ac:dyDescent="0.25">
      <c r="BI110" s="55">
        <f t="shared" si="9"/>
        <v>91</v>
      </c>
      <c r="BJ110" s="78">
        <v>36</v>
      </c>
      <c r="BK110" s="64">
        <v>55</v>
      </c>
      <c r="BL110" s="64">
        <v>1.33</v>
      </c>
      <c r="BM110" s="71">
        <v>1.22</v>
      </c>
      <c r="BN110" s="71">
        <v>1.05</v>
      </c>
      <c r="BO110" s="71">
        <v>0.89</v>
      </c>
      <c r="BP110" s="71">
        <v>0.77</v>
      </c>
      <c r="BQ110" s="71">
        <v>0.73</v>
      </c>
      <c r="BR110" s="71">
        <v>0.77</v>
      </c>
      <c r="BS110" s="71">
        <v>0.9</v>
      </c>
      <c r="BT110" s="71">
        <v>1.08</v>
      </c>
      <c r="BU110" s="71">
        <v>1.3</v>
      </c>
      <c r="BV110" s="71">
        <v>1.44</v>
      </c>
      <c r="BW110" s="71">
        <v>1.43</v>
      </c>
      <c r="BX110" s="55">
        <f t="shared" si="10"/>
        <v>91</v>
      </c>
      <c r="BY110" s="58">
        <v>55</v>
      </c>
    </row>
    <row r="111" spans="61:77" x14ac:dyDescent="0.25">
      <c r="BI111" s="55">
        <f t="shared" si="9"/>
        <v>96</v>
      </c>
      <c r="BJ111" s="78">
        <v>36</v>
      </c>
      <c r="BK111" s="64">
        <v>60</v>
      </c>
      <c r="BL111" s="64">
        <v>1.31</v>
      </c>
      <c r="BM111" s="71">
        <v>1.17</v>
      </c>
      <c r="BN111" s="71">
        <v>1.01</v>
      </c>
      <c r="BO111" s="71">
        <v>0.84</v>
      </c>
      <c r="BP111" s="71">
        <v>0.71</v>
      </c>
      <c r="BQ111" s="71">
        <v>0.67</v>
      </c>
      <c r="BR111" s="71">
        <v>0.71</v>
      </c>
      <c r="BS111" s="71">
        <v>0.84</v>
      </c>
      <c r="BT111" s="71">
        <v>1.05</v>
      </c>
      <c r="BU111" s="71">
        <v>1.27</v>
      </c>
      <c r="BV111" s="71">
        <v>1.43</v>
      </c>
      <c r="BW111" s="71">
        <v>1.42</v>
      </c>
      <c r="BX111" s="55">
        <f t="shared" si="10"/>
        <v>96</v>
      </c>
      <c r="BY111" s="58">
        <v>60</v>
      </c>
    </row>
    <row r="112" spans="61:77" x14ac:dyDescent="0.25">
      <c r="BI112" s="55">
        <f t="shared" si="9"/>
        <v>101</v>
      </c>
      <c r="BJ112" s="78">
        <v>36</v>
      </c>
      <c r="BK112" s="64">
        <v>65</v>
      </c>
      <c r="BL112" s="64">
        <v>1.29</v>
      </c>
      <c r="BM112" s="71">
        <v>1.1399999999999999</v>
      </c>
      <c r="BN112" s="71">
        <v>0.96</v>
      </c>
      <c r="BO112" s="71">
        <v>0.78</v>
      </c>
      <c r="BP112" s="71">
        <v>0.65</v>
      </c>
      <c r="BQ112" s="71">
        <v>0.6</v>
      </c>
      <c r="BR112" s="71">
        <v>0.65</v>
      </c>
      <c r="BS112" s="71">
        <v>0.79</v>
      </c>
      <c r="BT112" s="71">
        <v>1</v>
      </c>
      <c r="BU112" s="71">
        <v>1.24</v>
      </c>
      <c r="BV112" s="71">
        <v>1.41</v>
      </c>
      <c r="BW112" s="71">
        <v>1.4</v>
      </c>
      <c r="BX112" s="55">
        <f t="shared" si="10"/>
        <v>101</v>
      </c>
      <c r="BY112" s="58">
        <v>65</v>
      </c>
    </row>
    <row r="113" spans="61:77" x14ac:dyDescent="0.25">
      <c r="BI113" s="55">
        <f t="shared" si="9"/>
        <v>106</v>
      </c>
      <c r="BJ113" s="78">
        <v>36</v>
      </c>
      <c r="BK113" s="64">
        <v>70</v>
      </c>
      <c r="BL113" s="64">
        <v>1.25</v>
      </c>
      <c r="BM113" s="71">
        <v>1.1000000000000001</v>
      </c>
      <c r="BN113" s="71">
        <v>0.91</v>
      </c>
      <c r="BO113" s="71">
        <v>0.72</v>
      </c>
      <c r="BP113" s="71">
        <v>0.59</v>
      </c>
      <c r="BQ113" s="71">
        <v>0.53</v>
      </c>
      <c r="BR113" s="71">
        <v>0.57999999999999996</v>
      </c>
      <c r="BS113" s="71">
        <v>0.73</v>
      </c>
      <c r="BT113" s="71">
        <v>0.95</v>
      </c>
      <c r="BU113" s="71">
        <v>1.2</v>
      </c>
      <c r="BV113" s="71">
        <v>1.37</v>
      </c>
      <c r="BW113" s="71">
        <v>1.37</v>
      </c>
      <c r="BX113" s="55">
        <f t="shared" si="10"/>
        <v>106</v>
      </c>
      <c r="BY113" s="58">
        <v>70</v>
      </c>
    </row>
    <row r="114" spans="61:77" x14ac:dyDescent="0.25">
      <c r="BI114" s="55">
        <f t="shared" si="9"/>
        <v>111</v>
      </c>
      <c r="BJ114" s="78">
        <v>36</v>
      </c>
      <c r="BK114" s="64">
        <v>75</v>
      </c>
      <c r="BL114" s="64">
        <v>1.21</v>
      </c>
      <c r="BM114" s="71">
        <v>1.05</v>
      </c>
      <c r="BN114" s="71">
        <v>0.85</v>
      </c>
      <c r="BO114" s="71">
        <v>0.66</v>
      </c>
      <c r="BP114" s="71">
        <v>0.52</v>
      </c>
      <c r="BQ114" s="71">
        <v>0.46</v>
      </c>
      <c r="BR114" s="71">
        <v>0.51</v>
      </c>
      <c r="BS114" s="71">
        <v>0.66</v>
      </c>
      <c r="BT114" s="71">
        <v>0.89</v>
      </c>
      <c r="BU114" s="71">
        <v>1.1499999999999999</v>
      </c>
      <c r="BV114" s="71">
        <v>1.33</v>
      </c>
      <c r="BW114" s="71">
        <v>1.33</v>
      </c>
      <c r="BX114" s="55">
        <f t="shared" si="10"/>
        <v>111</v>
      </c>
      <c r="BY114" s="58">
        <v>75</v>
      </c>
    </row>
    <row r="115" spans="61:77" x14ac:dyDescent="0.25">
      <c r="BI115" s="55">
        <f t="shared" si="9"/>
        <v>116</v>
      </c>
      <c r="BJ115" s="78">
        <v>36</v>
      </c>
      <c r="BK115" s="64">
        <v>80</v>
      </c>
      <c r="BL115" s="64">
        <v>1.1599999999999999</v>
      </c>
      <c r="BM115" s="71">
        <v>1</v>
      </c>
      <c r="BN115" s="71">
        <v>0.79</v>
      </c>
      <c r="BO115" s="71">
        <v>0.59</v>
      </c>
      <c r="BP115" s="71">
        <v>0.44</v>
      </c>
      <c r="BQ115" s="71">
        <v>0.39</v>
      </c>
      <c r="BR115" s="71">
        <v>0.44</v>
      </c>
      <c r="BS115" s="71">
        <v>0.59</v>
      </c>
      <c r="BT115" s="71">
        <v>0.82</v>
      </c>
      <c r="BU115" s="71">
        <v>1.0900000000000001</v>
      </c>
      <c r="BV115" s="71">
        <v>1.28</v>
      </c>
      <c r="BW115" s="71">
        <v>1.29</v>
      </c>
      <c r="BX115" s="55">
        <f t="shared" si="10"/>
        <v>116</v>
      </c>
      <c r="BY115" s="58">
        <v>80</v>
      </c>
    </row>
    <row r="116" spans="61:77" x14ac:dyDescent="0.25">
      <c r="BI116" s="55">
        <f t="shared" si="9"/>
        <v>121</v>
      </c>
      <c r="BJ116" s="78">
        <v>36</v>
      </c>
      <c r="BK116" s="64">
        <v>85</v>
      </c>
      <c r="BL116" s="64">
        <v>1.1100000000000001</v>
      </c>
      <c r="BM116" s="71">
        <v>0.94</v>
      </c>
      <c r="BN116" s="71">
        <v>0.73</v>
      </c>
      <c r="BO116" s="71">
        <v>0.52</v>
      </c>
      <c r="BP116" s="71">
        <v>0.37</v>
      </c>
      <c r="BQ116" s="71">
        <v>0.31</v>
      </c>
      <c r="BR116" s="71">
        <v>0.36</v>
      </c>
      <c r="BS116" s="71">
        <v>0.51</v>
      </c>
      <c r="BT116" s="71">
        <v>0.75</v>
      </c>
      <c r="BU116" s="71">
        <v>1.03</v>
      </c>
      <c r="BV116" s="71">
        <v>1.23</v>
      </c>
      <c r="BW116" s="71">
        <v>1.23</v>
      </c>
      <c r="BX116" s="55">
        <f t="shared" si="10"/>
        <v>121</v>
      </c>
      <c r="BY116" s="58">
        <v>85</v>
      </c>
    </row>
    <row r="117" spans="61:77" x14ac:dyDescent="0.25">
      <c r="BI117" s="55">
        <f t="shared" si="9"/>
        <v>126</v>
      </c>
      <c r="BJ117" s="78">
        <v>36</v>
      </c>
      <c r="BK117" s="64">
        <v>90</v>
      </c>
      <c r="BL117" s="64">
        <v>1.05</v>
      </c>
      <c r="BM117" s="71">
        <v>0.87</v>
      </c>
      <c r="BN117" s="71">
        <v>0.65</v>
      </c>
      <c r="BO117" s="71">
        <v>0.44</v>
      </c>
      <c r="BP117" s="71">
        <v>0.28999999999999998</v>
      </c>
      <c r="BQ117" s="71">
        <v>0.23</v>
      </c>
      <c r="BR117" s="71">
        <v>0.28000000000000003</v>
      </c>
      <c r="BS117" s="71">
        <v>0.44</v>
      </c>
      <c r="BT117" s="71">
        <v>0.68</v>
      </c>
      <c r="BU117" s="71">
        <v>0.96</v>
      </c>
      <c r="BV117" s="71">
        <v>1.1599999999999999</v>
      </c>
      <c r="BW117" s="71">
        <v>1.17</v>
      </c>
      <c r="BX117" s="55">
        <f t="shared" si="10"/>
        <v>126</v>
      </c>
      <c r="BY117" s="58">
        <v>90</v>
      </c>
    </row>
    <row r="118" spans="61:77" x14ac:dyDescent="0.25">
      <c r="BI118" s="55">
        <f t="shared" si="9"/>
        <v>37</v>
      </c>
      <c r="BJ118" s="78">
        <v>37</v>
      </c>
      <c r="BK118" s="105">
        <v>0</v>
      </c>
      <c r="BL118" s="56">
        <v>1</v>
      </c>
      <c r="BM118" s="57">
        <v>1</v>
      </c>
      <c r="BN118" s="57">
        <v>1</v>
      </c>
      <c r="BO118" s="57">
        <v>1</v>
      </c>
      <c r="BP118" s="57">
        <v>1</v>
      </c>
      <c r="BQ118" s="57">
        <v>1</v>
      </c>
      <c r="BR118" s="56">
        <v>1</v>
      </c>
      <c r="BS118" s="56">
        <v>1</v>
      </c>
      <c r="BT118" s="56">
        <v>1</v>
      </c>
      <c r="BU118" s="56">
        <v>1</v>
      </c>
      <c r="BV118" s="56">
        <v>1</v>
      </c>
      <c r="BW118" s="56">
        <v>1</v>
      </c>
      <c r="BX118" s="55">
        <f t="shared" si="10"/>
        <v>37</v>
      </c>
      <c r="BY118" s="58">
        <v>0</v>
      </c>
    </row>
    <row r="119" spans="61:77" x14ac:dyDescent="0.25">
      <c r="BI119" s="55">
        <f t="shared" si="9"/>
        <v>42</v>
      </c>
      <c r="BJ119" s="78">
        <v>37</v>
      </c>
      <c r="BK119" s="105">
        <v>5</v>
      </c>
      <c r="BL119" s="64">
        <v>1.07</v>
      </c>
      <c r="BM119" s="71">
        <v>1.06</v>
      </c>
      <c r="BN119" s="71">
        <v>1.04</v>
      </c>
      <c r="BO119" s="71">
        <v>1.03</v>
      </c>
      <c r="BP119" s="71">
        <v>1.01</v>
      </c>
      <c r="BQ119" s="71">
        <v>1.01</v>
      </c>
      <c r="BR119" s="56">
        <v>1.02</v>
      </c>
      <c r="BS119" s="56">
        <v>1.03</v>
      </c>
      <c r="BT119" s="56">
        <v>1.05</v>
      </c>
      <c r="BU119" s="56">
        <v>1.07</v>
      </c>
      <c r="BV119" s="56">
        <v>1.08</v>
      </c>
      <c r="BW119" s="56">
        <v>1.08</v>
      </c>
      <c r="BX119" s="55">
        <f t="shared" si="10"/>
        <v>42</v>
      </c>
      <c r="BY119" s="58">
        <v>5</v>
      </c>
    </row>
    <row r="120" spans="61:77" x14ac:dyDescent="0.25">
      <c r="BI120" s="55">
        <f t="shared" si="9"/>
        <v>47</v>
      </c>
      <c r="BJ120" s="78">
        <v>37</v>
      </c>
      <c r="BK120" s="105">
        <v>10</v>
      </c>
      <c r="BL120" s="64">
        <v>1.1299999999999999</v>
      </c>
      <c r="BM120" s="71">
        <v>1.1000000000000001</v>
      </c>
      <c r="BN120" s="71">
        <v>1.08</v>
      </c>
      <c r="BO120" s="71">
        <v>1.05</v>
      </c>
      <c r="BP120" s="71">
        <v>1.02</v>
      </c>
      <c r="BQ120" s="71">
        <v>1.01</v>
      </c>
      <c r="BR120" s="56">
        <v>1.02</v>
      </c>
      <c r="BS120" s="56">
        <v>1.05</v>
      </c>
      <c r="BT120" s="56">
        <v>1.0900000000000001</v>
      </c>
      <c r="BU120" s="56">
        <v>1.1299999999999999</v>
      </c>
      <c r="BV120" s="56">
        <v>1.1599999999999999</v>
      </c>
      <c r="BW120" s="56">
        <v>1.1499999999999999</v>
      </c>
      <c r="BX120" s="55">
        <f t="shared" si="10"/>
        <v>47</v>
      </c>
      <c r="BY120" s="58">
        <v>10</v>
      </c>
    </row>
    <row r="121" spans="61:77" x14ac:dyDescent="0.25">
      <c r="BI121" s="55">
        <f t="shared" si="9"/>
        <v>52</v>
      </c>
      <c r="BJ121" s="78">
        <v>37</v>
      </c>
      <c r="BK121" s="105">
        <v>15</v>
      </c>
      <c r="BL121" s="64">
        <v>1.18</v>
      </c>
      <c r="BM121" s="71">
        <v>1.1499999999999999</v>
      </c>
      <c r="BN121" s="71">
        <v>1.1000000000000001</v>
      </c>
      <c r="BO121" s="71">
        <v>1.06</v>
      </c>
      <c r="BP121" s="71">
        <v>1.02</v>
      </c>
      <c r="BQ121" s="71">
        <v>1.01</v>
      </c>
      <c r="BR121" s="56">
        <v>1.02</v>
      </c>
      <c r="BS121" s="56">
        <v>1.06</v>
      </c>
      <c r="BT121" s="56">
        <v>1.1200000000000001</v>
      </c>
      <c r="BU121" s="56">
        <v>1.19</v>
      </c>
      <c r="BV121" s="56">
        <v>1.23</v>
      </c>
      <c r="BW121" s="56">
        <v>1.22</v>
      </c>
      <c r="BX121" s="55">
        <f t="shared" si="10"/>
        <v>52</v>
      </c>
      <c r="BY121" s="58">
        <v>15</v>
      </c>
    </row>
    <row r="122" spans="61:77" x14ac:dyDescent="0.25">
      <c r="BI122" s="55">
        <f t="shared" si="9"/>
        <v>57</v>
      </c>
      <c r="BJ122" s="78">
        <v>37</v>
      </c>
      <c r="BK122" s="105">
        <v>20</v>
      </c>
      <c r="BL122" s="64">
        <v>1.23</v>
      </c>
      <c r="BM122" s="71">
        <v>1.18</v>
      </c>
      <c r="BN122" s="71">
        <v>1.1200000000000001</v>
      </c>
      <c r="BO122" s="71">
        <v>1.06</v>
      </c>
      <c r="BP122" s="71">
        <v>1.02</v>
      </c>
      <c r="BQ122" s="71">
        <v>1</v>
      </c>
      <c r="BR122" s="56">
        <v>1.02</v>
      </c>
      <c r="BS122" s="56">
        <v>1.07</v>
      </c>
      <c r="BT122" s="56">
        <v>1.1499999999999999</v>
      </c>
      <c r="BU122" s="56">
        <v>1.23</v>
      </c>
      <c r="BV122" s="56">
        <v>1.29</v>
      </c>
      <c r="BW122" s="56">
        <v>1.28</v>
      </c>
      <c r="BX122" s="55">
        <f t="shared" si="10"/>
        <v>57</v>
      </c>
      <c r="BY122" s="58">
        <v>20</v>
      </c>
    </row>
    <row r="123" spans="61:77" x14ac:dyDescent="0.25">
      <c r="BI123" s="55">
        <f t="shared" si="9"/>
        <v>62</v>
      </c>
      <c r="BJ123" s="78">
        <v>37</v>
      </c>
      <c r="BK123" s="105">
        <v>25</v>
      </c>
      <c r="BL123" s="64">
        <v>1.27</v>
      </c>
      <c r="BM123" s="71">
        <v>1.21</v>
      </c>
      <c r="BN123" s="71">
        <v>1.1399999999999999</v>
      </c>
      <c r="BO123" s="71">
        <v>1.06</v>
      </c>
      <c r="BP123" s="71">
        <v>1</v>
      </c>
      <c r="BQ123" s="71">
        <v>0.98</v>
      </c>
      <c r="BR123" s="56">
        <v>1</v>
      </c>
      <c r="BS123" s="56">
        <v>1.07</v>
      </c>
      <c r="BT123" s="56">
        <v>1.1599999999999999</v>
      </c>
      <c r="BU123" s="56">
        <v>1.27</v>
      </c>
      <c r="BV123" s="56">
        <v>1.34</v>
      </c>
      <c r="BW123" s="56">
        <v>1.33</v>
      </c>
      <c r="BX123" s="55">
        <f t="shared" si="10"/>
        <v>62</v>
      </c>
      <c r="BY123" s="58">
        <v>25</v>
      </c>
    </row>
    <row r="124" spans="61:77" x14ac:dyDescent="0.25">
      <c r="BI124" s="55">
        <f t="shared" si="9"/>
        <v>67</v>
      </c>
      <c r="BJ124" s="78">
        <v>37</v>
      </c>
      <c r="BK124" s="105">
        <v>30</v>
      </c>
      <c r="BL124" s="64">
        <v>1.3</v>
      </c>
      <c r="BM124" s="71">
        <v>1.23</v>
      </c>
      <c r="BN124" s="71">
        <v>1.1399999999999999</v>
      </c>
      <c r="BO124" s="71">
        <v>1.05</v>
      </c>
      <c r="BP124" s="71">
        <v>0.98</v>
      </c>
      <c r="BQ124" s="71">
        <v>0.96</v>
      </c>
      <c r="BR124" s="56">
        <v>0.98</v>
      </c>
      <c r="BS124" s="56">
        <v>1.06</v>
      </c>
      <c r="BT124" s="56">
        <v>1.17</v>
      </c>
      <c r="BU124" s="56">
        <v>1.3</v>
      </c>
      <c r="BV124" s="56">
        <v>1.38</v>
      </c>
      <c r="BW124" s="56">
        <v>1.37</v>
      </c>
      <c r="BX124" s="55">
        <f t="shared" si="10"/>
        <v>67</v>
      </c>
      <c r="BY124" s="58">
        <v>30</v>
      </c>
    </row>
    <row r="125" spans="61:77" x14ac:dyDescent="0.25">
      <c r="BI125" s="55">
        <f t="shared" si="9"/>
        <v>72</v>
      </c>
      <c r="BJ125" s="78">
        <v>37</v>
      </c>
      <c r="BK125" s="105">
        <v>35</v>
      </c>
      <c r="BL125" s="64">
        <v>1.33</v>
      </c>
      <c r="BM125" s="71">
        <v>1.24</v>
      </c>
      <c r="BN125" s="71">
        <v>1.1399999999999999</v>
      </c>
      <c r="BO125" s="71">
        <v>1.03</v>
      </c>
      <c r="BP125" s="71">
        <v>0.96</v>
      </c>
      <c r="BQ125" s="71">
        <v>0.93</v>
      </c>
      <c r="BR125" s="56">
        <v>0.96</v>
      </c>
      <c r="BS125" s="56">
        <v>1.04</v>
      </c>
      <c r="BT125" s="56">
        <v>1.17</v>
      </c>
      <c r="BU125" s="56">
        <v>1.32</v>
      </c>
      <c r="BV125" s="56">
        <v>1.42</v>
      </c>
      <c r="BW125" s="56">
        <v>1.41</v>
      </c>
      <c r="BX125" s="55">
        <f t="shared" si="10"/>
        <v>72</v>
      </c>
      <c r="BY125" s="58">
        <v>35</v>
      </c>
    </row>
    <row r="126" spans="61:77" x14ac:dyDescent="0.25">
      <c r="BI126" s="55">
        <f t="shared" si="9"/>
        <v>77</v>
      </c>
      <c r="BJ126" s="78">
        <v>37</v>
      </c>
      <c r="BK126" s="105">
        <v>40</v>
      </c>
      <c r="BL126" s="64">
        <v>1.35</v>
      </c>
      <c r="BM126" s="71">
        <v>1.25</v>
      </c>
      <c r="BN126" s="71">
        <v>1.1299999999999999</v>
      </c>
      <c r="BO126" s="71">
        <v>1.01</v>
      </c>
      <c r="BP126" s="71">
        <v>0.92</v>
      </c>
      <c r="BQ126" s="71">
        <v>0.89</v>
      </c>
      <c r="BR126" s="56">
        <v>0.92</v>
      </c>
      <c r="BS126" s="56">
        <v>1.02</v>
      </c>
      <c r="BT126" s="56">
        <v>1.17</v>
      </c>
      <c r="BU126" s="56">
        <v>1.34</v>
      </c>
      <c r="BV126" s="56">
        <v>1.44</v>
      </c>
      <c r="BW126" s="56">
        <v>1.43</v>
      </c>
      <c r="BX126" s="55">
        <f t="shared" si="10"/>
        <v>77</v>
      </c>
      <c r="BY126" s="58">
        <v>40</v>
      </c>
    </row>
    <row r="127" spans="61:77" x14ac:dyDescent="0.25">
      <c r="BI127" s="55">
        <f t="shared" si="9"/>
        <v>82</v>
      </c>
      <c r="BJ127" s="78">
        <v>37</v>
      </c>
      <c r="BK127" s="105">
        <v>45</v>
      </c>
      <c r="BL127" s="64">
        <v>1.35</v>
      </c>
      <c r="BM127" s="71">
        <v>1.25</v>
      </c>
      <c r="BN127" s="71">
        <v>1.1100000000000001</v>
      </c>
      <c r="BO127" s="71">
        <v>0.98</v>
      </c>
      <c r="BP127" s="71">
        <v>0.88</v>
      </c>
      <c r="BQ127" s="71">
        <v>0.85</v>
      </c>
      <c r="BR127" s="56">
        <v>0.88</v>
      </c>
      <c r="BS127" s="56">
        <v>0.99</v>
      </c>
      <c r="BT127" s="56">
        <v>1.1499999999999999</v>
      </c>
      <c r="BU127" s="56">
        <v>1.34</v>
      </c>
      <c r="BV127" s="56">
        <v>1.46</v>
      </c>
      <c r="BW127" s="106">
        <v>1.45</v>
      </c>
      <c r="BX127" s="55">
        <f t="shared" si="10"/>
        <v>82</v>
      </c>
      <c r="BY127" s="58">
        <v>45</v>
      </c>
    </row>
    <row r="128" spans="61:77" x14ac:dyDescent="0.25">
      <c r="BI128" s="55">
        <f t="shared" si="9"/>
        <v>87</v>
      </c>
      <c r="BJ128" s="78">
        <v>37</v>
      </c>
      <c r="BK128" s="105">
        <v>50</v>
      </c>
      <c r="BL128" s="64">
        <v>1.35</v>
      </c>
      <c r="BM128" s="71">
        <v>1.24</v>
      </c>
      <c r="BN128" s="71">
        <v>1.0900000000000001</v>
      </c>
      <c r="BO128" s="71">
        <v>0.94</v>
      </c>
      <c r="BP128" s="71">
        <v>0.84</v>
      </c>
      <c r="BQ128" s="71">
        <v>0.8</v>
      </c>
      <c r="BR128" s="56">
        <v>0.84</v>
      </c>
      <c r="BS128" s="56">
        <v>0.95</v>
      </c>
      <c r="BT128" s="56">
        <v>1.1299999999999999</v>
      </c>
      <c r="BU128" s="56">
        <v>1.33</v>
      </c>
      <c r="BV128" s="56">
        <v>1.47</v>
      </c>
      <c r="BW128" s="56">
        <v>1.46</v>
      </c>
      <c r="BX128" s="55">
        <f t="shared" si="10"/>
        <v>87</v>
      </c>
      <c r="BY128" s="58">
        <v>50</v>
      </c>
    </row>
    <row r="129" spans="61:77" x14ac:dyDescent="0.25">
      <c r="BI129" s="55">
        <f t="shared" si="9"/>
        <v>92</v>
      </c>
      <c r="BJ129" s="78">
        <v>37</v>
      </c>
      <c r="BK129" s="105">
        <v>55</v>
      </c>
      <c r="BL129" s="64">
        <v>1.35</v>
      </c>
      <c r="BM129" s="71">
        <v>1.22</v>
      </c>
      <c r="BN129" s="71">
        <v>1.06</v>
      </c>
      <c r="BO129" s="71">
        <v>0.9</v>
      </c>
      <c r="BP129" s="71">
        <v>0.78</v>
      </c>
      <c r="BQ129" s="71">
        <v>0.74</v>
      </c>
      <c r="BR129" s="56">
        <v>0.78</v>
      </c>
      <c r="BS129" s="56">
        <v>0.91</v>
      </c>
      <c r="BT129" s="56">
        <v>1.1000000000000001</v>
      </c>
      <c r="BU129" s="56">
        <v>1.32</v>
      </c>
      <c r="BV129" s="56">
        <v>1.47</v>
      </c>
      <c r="BW129" s="56">
        <v>1.45</v>
      </c>
      <c r="BX129" s="55">
        <f t="shared" si="10"/>
        <v>92</v>
      </c>
      <c r="BY129" s="58">
        <v>55</v>
      </c>
    </row>
    <row r="130" spans="61:77" x14ac:dyDescent="0.25">
      <c r="BI130" s="55">
        <f t="shared" si="9"/>
        <v>97</v>
      </c>
      <c r="BJ130" s="78">
        <v>37</v>
      </c>
      <c r="BK130" s="105">
        <v>60</v>
      </c>
      <c r="BL130" s="64">
        <v>1.33</v>
      </c>
      <c r="BM130" s="71">
        <v>1.19</v>
      </c>
      <c r="BN130" s="71">
        <v>1.02</v>
      </c>
      <c r="BO130" s="71">
        <v>0.85</v>
      </c>
      <c r="BP130" s="71">
        <v>0.73</v>
      </c>
      <c r="BQ130" s="71">
        <v>0.68</v>
      </c>
      <c r="BR130" s="56">
        <v>0.73</v>
      </c>
      <c r="BS130" s="56">
        <v>0.86</v>
      </c>
      <c r="BT130" s="56">
        <v>1.06</v>
      </c>
      <c r="BU130" s="56">
        <v>1.32</v>
      </c>
      <c r="BV130" s="56">
        <v>1.45</v>
      </c>
      <c r="BW130" s="56">
        <v>1.44</v>
      </c>
      <c r="BX130" s="55">
        <f t="shared" si="10"/>
        <v>97</v>
      </c>
      <c r="BY130" s="58">
        <v>60</v>
      </c>
    </row>
    <row r="131" spans="61:77" x14ac:dyDescent="0.25">
      <c r="BI131" s="55">
        <f t="shared" si="9"/>
        <v>102</v>
      </c>
      <c r="BJ131" s="78">
        <v>37</v>
      </c>
      <c r="BK131" s="105">
        <v>65</v>
      </c>
      <c r="BL131" s="64">
        <v>1.31</v>
      </c>
      <c r="BM131" s="71">
        <v>1.1599999999999999</v>
      </c>
      <c r="BN131" s="71">
        <v>0.98</v>
      </c>
      <c r="BO131" s="71">
        <v>0.8</v>
      </c>
      <c r="BP131" s="71">
        <v>0.67</v>
      </c>
      <c r="BQ131" s="71">
        <v>0.62</v>
      </c>
      <c r="BR131" s="56">
        <v>0.66</v>
      </c>
      <c r="BS131" s="56">
        <v>0.8</v>
      </c>
      <c r="BT131" s="56">
        <v>1.02</v>
      </c>
      <c r="BU131" s="56">
        <v>1.26</v>
      </c>
      <c r="BV131" s="56">
        <v>1.43</v>
      </c>
      <c r="BW131" s="56">
        <v>1.42</v>
      </c>
      <c r="BX131" s="55">
        <f t="shared" si="10"/>
        <v>102</v>
      </c>
      <c r="BY131" s="58">
        <v>65</v>
      </c>
    </row>
    <row r="132" spans="61:77" x14ac:dyDescent="0.25">
      <c r="BI132" s="55">
        <f t="shared" si="9"/>
        <v>107</v>
      </c>
      <c r="BJ132" s="78">
        <v>37</v>
      </c>
      <c r="BK132" s="105">
        <v>70</v>
      </c>
      <c r="BL132" s="64">
        <v>1.27</v>
      </c>
      <c r="BM132" s="71">
        <v>1.1200000000000001</v>
      </c>
      <c r="BN132" s="71">
        <v>0.93</v>
      </c>
      <c r="BO132" s="71">
        <v>0.74</v>
      </c>
      <c r="BP132" s="71">
        <v>0.6</v>
      </c>
      <c r="BQ132" s="71">
        <v>0.55000000000000004</v>
      </c>
      <c r="BR132" s="56">
        <v>0.6</v>
      </c>
      <c r="BS132" s="56">
        <v>0.74</v>
      </c>
      <c r="BT132" s="56">
        <v>0.97</v>
      </c>
      <c r="BU132" s="56">
        <v>1.22</v>
      </c>
      <c r="BV132" s="56">
        <v>1.41</v>
      </c>
      <c r="BW132" s="56">
        <v>1.4</v>
      </c>
      <c r="BX132" s="55">
        <f t="shared" si="10"/>
        <v>107</v>
      </c>
      <c r="BY132" s="58">
        <v>70</v>
      </c>
    </row>
    <row r="133" spans="61:77" x14ac:dyDescent="0.25">
      <c r="BI133" s="55">
        <f t="shared" ref="BI133:BI196" si="11">BJ133+BK133</f>
        <v>112</v>
      </c>
      <c r="BJ133" s="78">
        <v>37</v>
      </c>
      <c r="BK133" s="105">
        <v>75</v>
      </c>
      <c r="BL133" s="64">
        <v>1.23</v>
      </c>
      <c r="BM133" s="71">
        <v>1.07</v>
      </c>
      <c r="BN133" s="71">
        <v>0.87</v>
      </c>
      <c r="BO133" s="71">
        <v>0.67</v>
      </c>
      <c r="BP133" s="71">
        <v>0.53</v>
      </c>
      <c r="BQ133" s="71">
        <v>0.48</v>
      </c>
      <c r="BR133" s="56">
        <v>0.53</v>
      </c>
      <c r="BS133" s="56">
        <v>0.68</v>
      </c>
      <c r="BT133" s="56">
        <v>0.91</v>
      </c>
      <c r="BU133" s="56">
        <v>1.17</v>
      </c>
      <c r="BV133" s="56">
        <v>1.36</v>
      </c>
      <c r="BW133" s="56">
        <v>1.36</v>
      </c>
      <c r="BX133" s="55">
        <f t="shared" ref="BX133:BX196" si="12">BJ133+BK133</f>
        <v>112</v>
      </c>
      <c r="BY133" s="58">
        <v>75</v>
      </c>
    </row>
    <row r="134" spans="61:77" x14ac:dyDescent="0.25">
      <c r="BI134" s="55">
        <f t="shared" si="11"/>
        <v>117</v>
      </c>
      <c r="BJ134" s="78">
        <v>37</v>
      </c>
      <c r="BK134" s="105">
        <v>80</v>
      </c>
      <c r="BL134" s="64">
        <v>1.19</v>
      </c>
      <c r="BM134" s="71">
        <v>1.02</v>
      </c>
      <c r="BN134" s="71">
        <v>0.81</v>
      </c>
      <c r="BO134" s="71">
        <v>0.6</v>
      </c>
      <c r="BP134" s="71">
        <v>0.46</v>
      </c>
      <c r="BQ134" s="71">
        <v>0.4</v>
      </c>
      <c r="BR134" s="56">
        <v>0.45</v>
      </c>
      <c r="BS134" s="56">
        <v>0.6</v>
      </c>
      <c r="BT134" s="56">
        <v>0.84</v>
      </c>
      <c r="BU134" s="56">
        <v>1.1200000000000001</v>
      </c>
      <c r="BV134" s="56">
        <v>1.31</v>
      </c>
      <c r="BW134" s="56">
        <v>1.31</v>
      </c>
      <c r="BX134" s="55">
        <f t="shared" si="12"/>
        <v>117</v>
      </c>
      <c r="BY134" s="58">
        <v>80</v>
      </c>
    </row>
    <row r="135" spans="61:77" x14ac:dyDescent="0.25">
      <c r="BI135" s="55">
        <f t="shared" si="11"/>
        <v>122</v>
      </c>
      <c r="BJ135" s="78">
        <v>37</v>
      </c>
      <c r="BK135" s="105">
        <v>85</v>
      </c>
      <c r="BL135" s="64">
        <v>1.1299999999999999</v>
      </c>
      <c r="BM135" s="71">
        <v>0.96</v>
      </c>
      <c r="BN135" s="71">
        <v>0.74</v>
      </c>
      <c r="BO135" s="71">
        <v>0.53</v>
      </c>
      <c r="BP135" s="71">
        <v>0.38</v>
      </c>
      <c r="BQ135" s="71">
        <v>0.32</v>
      </c>
      <c r="BR135" s="56">
        <v>0.38</v>
      </c>
      <c r="BS135" s="56">
        <v>0.53</v>
      </c>
      <c r="BT135" s="56">
        <v>0.77</v>
      </c>
      <c r="BU135" s="56">
        <v>1.05</v>
      </c>
      <c r="BV135" s="56">
        <v>1.26</v>
      </c>
      <c r="BW135" s="56">
        <v>1.26</v>
      </c>
      <c r="BX135" s="55">
        <f t="shared" si="12"/>
        <v>122</v>
      </c>
      <c r="BY135" s="58">
        <v>85</v>
      </c>
    </row>
    <row r="136" spans="61:77" x14ac:dyDescent="0.25">
      <c r="BI136" s="55">
        <f t="shared" si="11"/>
        <v>127</v>
      </c>
      <c r="BJ136" s="78">
        <v>37</v>
      </c>
      <c r="BK136" s="105">
        <v>90</v>
      </c>
      <c r="BL136" s="64">
        <v>1.07</v>
      </c>
      <c r="BM136" s="71">
        <v>0.89</v>
      </c>
      <c r="BN136" s="71">
        <v>0.67</v>
      </c>
      <c r="BO136" s="71">
        <v>0.46</v>
      </c>
      <c r="BP136" s="71">
        <v>0.3</v>
      </c>
      <c r="BQ136" s="71">
        <v>0.25</v>
      </c>
      <c r="BR136" s="56">
        <v>0.3</v>
      </c>
      <c r="BS136" s="56">
        <v>0.45</v>
      </c>
      <c r="BT136" s="56">
        <v>0.7</v>
      </c>
      <c r="BU136" s="56">
        <v>0.98</v>
      </c>
      <c r="BV136" s="56">
        <v>1.19</v>
      </c>
      <c r="BW136" s="56">
        <v>1.2</v>
      </c>
      <c r="BX136" s="55">
        <f t="shared" si="12"/>
        <v>127</v>
      </c>
      <c r="BY136" s="58">
        <v>90</v>
      </c>
    </row>
    <row r="137" spans="61:77" x14ac:dyDescent="0.25">
      <c r="BI137" s="55">
        <f t="shared" si="11"/>
        <v>38</v>
      </c>
      <c r="BJ137" s="78">
        <v>38</v>
      </c>
      <c r="BK137" s="64">
        <v>0</v>
      </c>
      <c r="BL137" s="56">
        <v>1</v>
      </c>
      <c r="BM137" s="57">
        <v>1</v>
      </c>
      <c r="BN137" s="57">
        <v>1</v>
      </c>
      <c r="BO137" s="57">
        <v>1</v>
      </c>
      <c r="BP137" s="57">
        <v>1</v>
      </c>
      <c r="BQ137" s="57">
        <v>1</v>
      </c>
      <c r="BR137" s="56">
        <v>1</v>
      </c>
      <c r="BS137" s="56">
        <v>1</v>
      </c>
      <c r="BT137" s="56">
        <v>1</v>
      </c>
      <c r="BU137" s="56">
        <v>1</v>
      </c>
      <c r="BV137" s="56">
        <v>1</v>
      </c>
      <c r="BW137" s="56">
        <v>1</v>
      </c>
      <c r="BX137" s="55">
        <f t="shared" si="12"/>
        <v>38</v>
      </c>
      <c r="BY137" s="58">
        <v>0</v>
      </c>
    </row>
    <row r="138" spans="61:77" x14ac:dyDescent="0.25">
      <c r="BI138" s="55">
        <f t="shared" si="11"/>
        <v>43</v>
      </c>
      <c r="BJ138" s="78">
        <v>38</v>
      </c>
      <c r="BK138" s="64">
        <v>5</v>
      </c>
      <c r="BL138" s="64">
        <v>1.07</v>
      </c>
      <c r="BM138" s="71">
        <v>1.06</v>
      </c>
      <c r="BN138" s="71">
        <v>1.04</v>
      </c>
      <c r="BO138" s="71">
        <v>1.03</v>
      </c>
      <c r="BP138" s="71">
        <v>1.02</v>
      </c>
      <c r="BQ138" s="71">
        <v>1.01</v>
      </c>
      <c r="BR138" s="56">
        <v>1.02</v>
      </c>
      <c r="BS138" s="56">
        <v>1.03</v>
      </c>
      <c r="BT138" s="56">
        <v>1.05</v>
      </c>
      <c r="BU138" s="56">
        <v>1.07</v>
      </c>
      <c r="BV138" s="56">
        <v>1.08</v>
      </c>
      <c r="BW138" s="56">
        <v>1.08</v>
      </c>
      <c r="BX138" s="55">
        <f t="shared" si="12"/>
        <v>43</v>
      </c>
      <c r="BY138" s="58">
        <v>5</v>
      </c>
    </row>
    <row r="139" spans="61:77" x14ac:dyDescent="0.25">
      <c r="BI139" s="55">
        <f t="shared" si="11"/>
        <v>48</v>
      </c>
      <c r="BJ139" s="78">
        <v>38</v>
      </c>
      <c r="BK139" s="64">
        <v>10</v>
      </c>
      <c r="BL139" s="64">
        <v>1.1299999999999999</v>
      </c>
      <c r="BM139" s="71">
        <v>1.1100000000000001</v>
      </c>
      <c r="BN139" s="71">
        <v>1.08</v>
      </c>
      <c r="BO139" s="71">
        <v>1.05</v>
      </c>
      <c r="BP139" s="71">
        <v>1.02</v>
      </c>
      <c r="BQ139" s="71">
        <v>1.02</v>
      </c>
      <c r="BR139" s="56">
        <v>1.03</v>
      </c>
      <c r="BS139" s="56">
        <v>1.05</v>
      </c>
      <c r="BT139" s="56">
        <v>1.0900000000000001</v>
      </c>
      <c r="BU139" s="56">
        <v>1.1399999999999999</v>
      </c>
      <c r="BV139" s="56">
        <v>1.1599999999999999</v>
      </c>
      <c r="BW139" s="56">
        <v>1.1599999999999999</v>
      </c>
      <c r="BX139" s="55">
        <f t="shared" si="12"/>
        <v>48</v>
      </c>
      <c r="BY139" s="58">
        <v>10</v>
      </c>
    </row>
    <row r="140" spans="61:77" x14ac:dyDescent="0.25">
      <c r="BI140" s="55">
        <f t="shared" si="11"/>
        <v>53</v>
      </c>
      <c r="BJ140" s="78">
        <v>38</v>
      </c>
      <c r="BK140" s="64">
        <v>15</v>
      </c>
      <c r="BL140" s="64">
        <v>1.19</v>
      </c>
      <c r="BM140" s="71">
        <v>1.1499999999999999</v>
      </c>
      <c r="BN140" s="71">
        <v>1.1100000000000001</v>
      </c>
      <c r="BO140" s="71">
        <v>1.06</v>
      </c>
      <c r="BP140" s="71">
        <v>1.03</v>
      </c>
      <c r="BQ140" s="71">
        <v>1.01</v>
      </c>
      <c r="BR140" s="56">
        <v>1.03</v>
      </c>
      <c r="BS140" s="56">
        <v>1.07</v>
      </c>
      <c r="BT140" s="56">
        <v>1.1299999999999999</v>
      </c>
      <c r="BU140" s="56">
        <v>1.19</v>
      </c>
      <c r="BV140" s="56">
        <v>1.23</v>
      </c>
      <c r="BW140" s="56">
        <v>1.22</v>
      </c>
      <c r="BX140" s="55">
        <f t="shared" si="12"/>
        <v>53</v>
      </c>
      <c r="BY140" s="58">
        <v>15</v>
      </c>
    </row>
    <row r="141" spans="61:77" x14ac:dyDescent="0.25">
      <c r="BI141" s="55">
        <f t="shared" si="11"/>
        <v>58</v>
      </c>
      <c r="BJ141" s="78">
        <v>38</v>
      </c>
      <c r="BK141" s="64">
        <v>20</v>
      </c>
      <c r="BL141" s="64">
        <v>1.24</v>
      </c>
      <c r="BM141" s="71">
        <v>1.19</v>
      </c>
      <c r="BN141" s="71">
        <v>1.1299999999999999</v>
      </c>
      <c r="BO141" s="71">
        <v>1.07</v>
      </c>
      <c r="BP141" s="71">
        <v>1.02</v>
      </c>
      <c r="BQ141" s="71">
        <v>1.01</v>
      </c>
      <c r="BR141" s="56">
        <v>1.02</v>
      </c>
      <c r="BS141" s="56">
        <v>1.07</v>
      </c>
      <c r="BT141" s="56">
        <v>1.1499999999999999</v>
      </c>
      <c r="BU141" s="56">
        <v>1.24</v>
      </c>
      <c r="BV141" s="56">
        <v>1.3</v>
      </c>
      <c r="BW141" s="56">
        <v>1.29</v>
      </c>
      <c r="BX141" s="55">
        <f t="shared" si="12"/>
        <v>58</v>
      </c>
      <c r="BY141" s="58">
        <v>20</v>
      </c>
    </row>
    <row r="142" spans="61:77" x14ac:dyDescent="0.25">
      <c r="BI142" s="55">
        <f t="shared" si="11"/>
        <v>63</v>
      </c>
      <c r="BJ142" s="78">
        <v>38</v>
      </c>
      <c r="BK142" s="64">
        <v>25</v>
      </c>
      <c r="BL142" s="64">
        <v>1.28</v>
      </c>
      <c r="BM142" s="71">
        <v>1.22</v>
      </c>
      <c r="BN142" s="71">
        <v>1.1399999999999999</v>
      </c>
      <c r="BO142" s="71">
        <v>1.07</v>
      </c>
      <c r="BP142" s="71">
        <v>1.01</v>
      </c>
      <c r="BQ142" s="71">
        <v>0.99</v>
      </c>
      <c r="BR142" s="56">
        <v>1.01</v>
      </c>
      <c r="BS142" s="56">
        <v>1.08</v>
      </c>
      <c r="BT142" s="56">
        <v>1.17</v>
      </c>
      <c r="BU142" s="56">
        <v>1.28</v>
      </c>
      <c r="BV142" s="56">
        <v>1.35</v>
      </c>
      <c r="BW142" s="56">
        <v>1.34</v>
      </c>
      <c r="BX142" s="55">
        <f t="shared" si="12"/>
        <v>63</v>
      </c>
      <c r="BY142" s="58">
        <v>25</v>
      </c>
    </row>
    <row r="143" spans="61:77" x14ac:dyDescent="0.25">
      <c r="BI143" s="55">
        <f t="shared" si="11"/>
        <v>68</v>
      </c>
      <c r="BJ143" s="78">
        <v>38</v>
      </c>
      <c r="BK143" s="64">
        <v>30</v>
      </c>
      <c r="BL143" s="64">
        <v>1.31</v>
      </c>
      <c r="BM143" s="71">
        <v>1.24</v>
      </c>
      <c r="BN143" s="71">
        <v>1.1499999999999999</v>
      </c>
      <c r="BO143" s="71">
        <v>1.06</v>
      </c>
      <c r="BP143" s="71">
        <v>0.99</v>
      </c>
      <c r="BQ143" s="71">
        <v>0.97</v>
      </c>
      <c r="BR143" s="56">
        <v>0.99</v>
      </c>
      <c r="BS143" s="56">
        <v>1.07</v>
      </c>
      <c r="BT143" s="56">
        <v>1.18</v>
      </c>
      <c r="BU143" s="56">
        <v>1.31</v>
      </c>
      <c r="BV143" s="56">
        <v>1.4</v>
      </c>
      <c r="BW143" s="56">
        <v>1.38</v>
      </c>
      <c r="BX143" s="55">
        <f t="shared" si="12"/>
        <v>68</v>
      </c>
      <c r="BY143" s="58">
        <v>30</v>
      </c>
    </row>
    <row r="144" spans="61:77" x14ac:dyDescent="0.25">
      <c r="BI144" s="55">
        <f t="shared" si="11"/>
        <v>73</v>
      </c>
      <c r="BJ144" s="78">
        <v>38</v>
      </c>
      <c r="BK144" s="64">
        <v>35</v>
      </c>
      <c r="BL144" s="64">
        <v>1.34</v>
      </c>
      <c r="BM144" s="71">
        <v>1.25</v>
      </c>
      <c r="BN144" s="71">
        <v>1.1499999999999999</v>
      </c>
      <c r="BO144" s="71">
        <v>1.04</v>
      </c>
      <c r="BP144" s="71">
        <v>0.96</v>
      </c>
      <c r="BQ144" s="71">
        <v>0.94</v>
      </c>
      <c r="BR144" s="56">
        <v>0.97</v>
      </c>
      <c r="BS144" s="56">
        <v>1.05</v>
      </c>
      <c r="BT144" s="56">
        <v>1.19</v>
      </c>
      <c r="BU144" s="56">
        <v>1.34</v>
      </c>
      <c r="BV144" s="56">
        <v>1.43</v>
      </c>
      <c r="BW144" s="56">
        <v>1.42</v>
      </c>
      <c r="BX144" s="55">
        <f t="shared" si="12"/>
        <v>73</v>
      </c>
      <c r="BY144" s="58">
        <v>35</v>
      </c>
    </row>
    <row r="145" spans="61:77" x14ac:dyDescent="0.25">
      <c r="BI145" s="55">
        <f t="shared" si="11"/>
        <v>78</v>
      </c>
      <c r="BJ145" s="78">
        <v>38</v>
      </c>
      <c r="BK145" s="64">
        <v>40</v>
      </c>
      <c r="BL145" s="64">
        <v>1.36</v>
      </c>
      <c r="BM145" s="71">
        <v>1.26</v>
      </c>
      <c r="BN145" s="71">
        <v>1.1399999999999999</v>
      </c>
      <c r="BO145" s="71">
        <v>1.02</v>
      </c>
      <c r="BP145" s="71">
        <v>0.93</v>
      </c>
      <c r="BQ145" s="71">
        <v>0.9</v>
      </c>
      <c r="BR145" s="56">
        <v>0.93</v>
      </c>
      <c r="BS145" s="56">
        <v>1.03</v>
      </c>
      <c r="BT145" s="56">
        <v>1.18</v>
      </c>
      <c r="BU145" s="56">
        <v>1.35</v>
      </c>
      <c r="BV145" s="56">
        <v>1.46</v>
      </c>
      <c r="BW145" s="56">
        <v>1.45</v>
      </c>
      <c r="BX145" s="55">
        <f t="shared" si="12"/>
        <v>78</v>
      </c>
      <c r="BY145" s="58">
        <v>40</v>
      </c>
    </row>
    <row r="146" spans="61:77" x14ac:dyDescent="0.25">
      <c r="BI146" s="55">
        <f t="shared" si="11"/>
        <v>83</v>
      </c>
      <c r="BJ146" s="78">
        <v>38</v>
      </c>
      <c r="BK146" s="64">
        <v>45</v>
      </c>
      <c r="BL146" s="64">
        <v>1.37</v>
      </c>
      <c r="BM146" s="71">
        <v>1.26</v>
      </c>
      <c r="BN146" s="71">
        <v>1.1299999999999999</v>
      </c>
      <c r="BO146" s="71">
        <v>0.99</v>
      </c>
      <c r="BP146" s="71">
        <v>0.89</v>
      </c>
      <c r="BQ146" s="71">
        <v>0.86</v>
      </c>
      <c r="BR146" s="56">
        <v>0.89</v>
      </c>
      <c r="BS146" s="56">
        <v>1</v>
      </c>
      <c r="BT146" s="56">
        <v>1.17</v>
      </c>
      <c r="BU146" s="56">
        <v>1.36</v>
      </c>
      <c r="BV146" s="56">
        <v>1.48</v>
      </c>
      <c r="BW146" s="56">
        <v>1.47</v>
      </c>
      <c r="BX146" s="55">
        <f t="shared" si="12"/>
        <v>83</v>
      </c>
      <c r="BY146" s="58">
        <v>45</v>
      </c>
    </row>
    <row r="147" spans="61:77" x14ac:dyDescent="0.25">
      <c r="BI147" s="55">
        <f t="shared" si="11"/>
        <v>88</v>
      </c>
      <c r="BJ147" s="78">
        <v>38</v>
      </c>
      <c r="BK147" s="64">
        <v>50</v>
      </c>
      <c r="BL147" s="64">
        <v>1.37</v>
      </c>
      <c r="BM147" s="71">
        <v>1.25</v>
      </c>
      <c r="BN147" s="71">
        <v>1.1000000000000001</v>
      </c>
      <c r="BO147" s="71">
        <v>0.96</v>
      </c>
      <c r="BP147" s="71">
        <v>0.85</v>
      </c>
      <c r="BQ147" s="71">
        <v>0.81</v>
      </c>
      <c r="BR147" s="56">
        <v>0.85</v>
      </c>
      <c r="BS147" s="56">
        <v>0.97</v>
      </c>
      <c r="BT147" s="56">
        <v>1.1499999999999999</v>
      </c>
      <c r="BU147" s="56">
        <v>1.35</v>
      </c>
      <c r="BV147" s="56">
        <v>1.49</v>
      </c>
      <c r="BW147" s="56">
        <v>1.48</v>
      </c>
      <c r="BX147" s="55">
        <f t="shared" si="12"/>
        <v>88</v>
      </c>
      <c r="BY147" s="58">
        <v>50</v>
      </c>
    </row>
    <row r="148" spans="61:77" x14ac:dyDescent="0.25">
      <c r="BI148" s="55">
        <f t="shared" si="11"/>
        <v>93</v>
      </c>
      <c r="BJ148" s="78">
        <v>38</v>
      </c>
      <c r="BK148" s="64">
        <v>55</v>
      </c>
      <c r="BL148" s="64">
        <v>1.36</v>
      </c>
      <c r="BM148" s="71">
        <v>1.23</v>
      </c>
      <c r="BN148" s="71">
        <v>1.07</v>
      </c>
      <c r="BO148" s="71">
        <v>0.91</v>
      </c>
      <c r="BP148" s="71">
        <v>0.8</v>
      </c>
      <c r="BQ148" s="71">
        <v>0.75</v>
      </c>
      <c r="BR148" s="56">
        <v>0.8</v>
      </c>
      <c r="BS148" s="56">
        <v>0.92</v>
      </c>
      <c r="BT148" s="56">
        <v>1.1200000000000001</v>
      </c>
      <c r="BU148" s="56">
        <v>1.34</v>
      </c>
      <c r="BV148" s="56">
        <v>1.49</v>
      </c>
      <c r="BW148" s="56">
        <v>1.48</v>
      </c>
      <c r="BX148" s="55">
        <f t="shared" si="12"/>
        <v>93</v>
      </c>
      <c r="BY148" s="58">
        <v>55</v>
      </c>
    </row>
    <row r="149" spans="61:77" x14ac:dyDescent="0.25">
      <c r="BI149" s="55">
        <f t="shared" si="11"/>
        <v>98</v>
      </c>
      <c r="BJ149" s="78">
        <v>38</v>
      </c>
      <c r="BK149" s="64">
        <v>60</v>
      </c>
      <c r="BL149" s="64">
        <v>1.35</v>
      </c>
      <c r="BM149" s="71">
        <v>1.21</v>
      </c>
      <c r="BN149" s="71">
        <v>1.04</v>
      </c>
      <c r="BO149" s="71">
        <v>0.86</v>
      </c>
      <c r="BP149" s="71">
        <v>0.74</v>
      </c>
      <c r="BQ149" s="71">
        <v>0.69</v>
      </c>
      <c r="BR149" s="56">
        <v>0.74</v>
      </c>
      <c r="BS149" s="56">
        <v>0.87</v>
      </c>
      <c r="BT149" s="56">
        <v>1.08</v>
      </c>
      <c r="BU149" s="56">
        <v>1.32</v>
      </c>
      <c r="BV149" s="56">
        <v>1.48</v>
      </c>
      <c r="BW149" s="56">
        <v>1.47</v>
      </c>
      <c r="BX149" s="55">
        <f t="shared" si="12"/>
        <v>98</v>
      </c>
      <c r="BY149" s="58">
        <v>60</v>
      </c>
    </row>
    <row r="150" spans="61:77" x14ac:dyDescent="0.25">
      <c r="BI150" s="55">
        <f t="shared" si="11"/>
        <v>103</v>
      </c>
      <c r="BJ150" s="78">
        <v>38</v>
      </c>
      <c r="BK150" s="64">
        <v>65</v>
      </c>
      <c r="BL150" s="64">
        <v>1.33</v>
      </c>
      <c r="BM150" s="71">
        <v>1.18</v>
      </c>
      <c r="BN150" s="71">
        <v>0.99</v>
      </c>
      <c r="BO150" s="71">
        <v>0.81</v>
      </c>
      <c r="BP150" s="71">
        <v>0.68</v>
      </c>
      <c r="BQ150" s="71">
        <v>0.63</v>
      </c>
      <c r="BR150" s="56">
        <v>0.68</v>
      </c>
      <c r="BS150" s="56">
        <v>0.82</v>
      </c>
      <c r="BT150" s="56">
        <v>1.04</v>
      </c>
      <c r="BU150" s="56">
        <v>1.29</v>
      </c>
      <c r="BV150" s="56">
        <v>1.46</v>
      </c>
      <c r="BW150" s="56">
        <v>1.45</v>
      </c>
      <c r="BX150" s="55">
        <f t="shared" si="12"/>
        <v>103</v>
      </c>
      <c r="BY150" s="58">
        <v>65</v>
      </c>
    </row>
    <row r="151" spans="61:77" x14ac:dyDescent="0.25">
      <c r="BI151" s="55">
        <f t="shared" si="11"/>
        <v>108</v>
      </c>
      <c r="BJ151" s="78">
        <v>38</v>
      </c>
      <c r="BK151" s="64">
        <v>70</v>
      </c>
      <c r="BL151" s="64">
        <v>1.29</v>
      </c>
      <c r="BM151" s="71">
        <v>1.1399999999999999</v>
      </c>
      <c r="BN151" s="71">
        <v>0.94</v>
      </c>
      <c r="BO151" s="71">
        <v>0.75</v>
      </c>
      <c r="BP151" s="71">
        <v>0.61</v>
      </c>
      <c r="BQ151" s="71">
        <v>0.56000000000000005</v>
      </c>
      <c r="BR151" s="56">
        <v>0.61</v>
      </c>
      <c r="BS151" s="56">
        <v>0.76</v>
      </c>
      <c r="BT151" s="56">
        <v>0.98</v>
      </c>
      <c r="BU151" s="56">
        <v>1.25</v>
      </c>
      <c r="BV151" s="56">
        <v>1.43</v>
      </c>
      <c r="BW151" s="56">
        <v>1.42</v>
      </c>
      <c r="BX151" s="55">
        <f t="shared" si="12"/>
        <v>108</v>
      </c>
      <c r="BY151" s="58">
        <v>70</v>
      </c>
    </row>
    <row r="152" spans="61:77" x14ac:dyDescent="0.25">
      <c r="BI152" s="55">
        <f t="shared" si="11"/>
        <v>113</v>
      </c>
      <c r="BJ152" s="78">
        <v>38</v>
      </c>
      <c r="BK152" s="64">
        <v>75</v>
      </c>
      <c r="BL152" s="64">
        <v>1.25</v>
      </c>
      <c r="BM152" s="71">
        <v>1.0900000000000001</v>
      </c>
      <c r="BN152" s="71">
        <v>0.89</v>
      </c>
      <c r="BO152" s="71">
        <v>0.69</v>
      </c>
      <c r="BP152" s="71">
        <v>0.54</v>
      </c>
      <c r="BQ152" s="71">
        <v>0.49</v>
      </c>
      <c r="BR152" s="56">
        <v>0.54</v>
      </c>
      <c r="BS152" s="56">
        <v>0.69</v>
      </c>
      <c r="BT152" s="56">
        <v>0.93</v>
      </c>
      <c r="BU152" s="56">
        <v>1.2</v>
      </c>
      <c r="BV152" s="56">
        <v>1.39</v>
      </c>
      <c r="BW152" s="56">
        <v>1.39</v>
      </c>
      <c r="BX152" s="55">
        <f t="shared" si="12"/>
        <v>113</v>
      </c>
      <c r="BY152" s="58">
        <v>75</v>
      </c>
    </row>
    <row r="153" spans="61:77" x14ac:dyDescent="0.25">
      <c r="BI153" s="55">
        <f t="shared" si="11"/>
        <v>118</v>
      </c>
      <c r="BJ153" s="78">
        <v>38</v>
      </c>
      <c r="BK153" s="64">
        <v>80</v>
      </c>
      <c r="BL153" s="64">
        <v>1.21</v>
      </c>
      <c r="BM153" s="71">
        <v>1.04</v>
      </c>
      <c r="BN153" s="71">
        <v>0.83</v>
      </c>
      <c r="BO153" s="71">
        <v>0.62</v>
      </c>
      <c r="BP153" s="71">
        <v>0.47</v>
      </c>
      <c r="BQ153" s="71">
        <v>0.42</v>
      </c>
      <c r="BR153" s="56">
        <v>0.47</v>
      </c>
      <c r="BS153" s="56">
        <v>0.62</v>
      </c>
      <c r="BT153" s="56">
        <v>0.86</v>
      </c>
      <c r="BU153" s="56">
        <v>1.1399999999999999</v>
      </c>
      <c r="BV153" s="56">
        <v>1.34</v>
      </c>
      <c r="BW153" s="56">
        <v>1.34</v>
      </c>
      <c r="BX153" s="55">
        <f t="shared" si="12"/>
        <v>118</v>
      </c>
      <c r="BY153" s="58">
        <v>80</v>
      </c>
    </row>
    <row r="154" spans="61:77" x14ac:dyDescent="0.25">
      <c r="BI154" s="55">
        <f t="shared" si="11"/>
        <v>123</v>
      </c>
      <c r="BJ154" s="78">
        <v>38</v>
      </c>
      <c r="BK154" s="64">
        <v>85</v>
      </c>
      <c r="BL154" s="64">
        <v>1.1499999999999999</v>
      </c>
      <c r="BM154" s="71">
        <v>0.98</v>
      </c>
      <c r="BN154" s="71">
        <v>0.76</v>
      </c>
      <c r="BO154" s="71">
        <v>0.55000000000000004</v>
      </c>
      <c r="BP154" s="71">
        <v>0.4</v>
      </c>
      <c r="BQ154" s="71">
        <v>0.34</v>
      </c>
      <c r="BR154" s="56">
        <v>0.39</v>
      </c>
      <c r="BS154" s="56">
        <v>0.55000000000000004</v>
      </c>
      <c r="BT154" s="56">
        <v>0.79</v>
      </c>
      <c r="BU154" s="56">
        <v>1.08</v>
      </c>
      <c r="BV154" s="56">
        <v>1.29</v>
      </c>
      <c r="BW154" s="56">
        <v>1.29</v>
      </c>
      <c r="BX154" s="55">
        <f t="shared" si="12"/>
        <v>123</v>
      </c>
      <c r="BY154" s="58">
        <v>85</v>
      </c>
    </row>
    <row r="155" spans="61:77" x14ac:dyDescent="0.25">
      <c r="BI155" s="55">
        <f t="shared" si="11"/>
        <v>128</v>
      </c>
      <c r="BJ155" s="78">
        <v>38</v>
      </c>
      <c r="BK155" s="64">
        <v>90</v>
      </c>
      <c r="BL155" s="64">
        <v>1.0900000000000001</v>
      </c>
      <c r="BM155" s="71">
        <v>0.91</v>
      </c>
      <c r="BN155" s="71">
        <v>0.69</v>
      </c>
      <c r="BO155" s="71">
        <v>0.47</v>
      </c>
      <c r="BP155" s="71">
        <v>0.32</v>
      </c>
      <c r="BQ155" s="71">
        <v>0.26</v>
      </c>
      <c r="BR155" s="56">
        <v>0.31</v>
      </c>
      <c r="BS155" s="56">
        <v>0.47</v>
      </c>
      <c r="BT155" s="56">
        <v>0.72</v>
      </c>
      <c r="BU155" s="56">
        <v>1.01</v>
      </c>
      <c r="BV155" s="56">
        <v>1.22</v>
      </c>
      <c r="BW155" s="56">
        <v>1.23</v>
      </c>
      <c r="BX155" s="55">
        <f t="shared" si="12"/>
        <v>128</v>
      </c>
      <c r="BY155" s="58">
        <v>90</v>
      </c>
    </row>
    <row r="156" spans="61:77" x14ac:dyDescent="0.25">
      <c r="BI156" s="55">
        <f t="shared" si="11"/>
        <v>39</v>
      </c>
      <c r="BJ156" s="78">
        <v>39</v>
      </c>
      <c r="BK156" s="64">
        <v>0</v>
      </c>
      <c r="BL156" s="56">
        <v>1</v>
      </c>
      <c r="BM156" s="57">
        <v>1</v>
      </c>
      <c r="BN156" s="57">
        <v>1</v>
      </c>
      <c r="BO156" s="57">
        <v>1</v>
      </c>
      <c r="BP156" s="57">
        <v>1</v>
      </c>
      <c r="BQ156" s="57">
        <v>1</v>
      </c>
      <c r="BR156" s="56">
        <v>1</v>
      </c>
      <c r="BS156" s="56">
        <v>1</v>
      </c>
      <c r="BT156" s="56">
        <v>1</v>
      </c>
      <c r="BU156" s="56">
        <v>1</v>
      </c>
      <c r="BV156" s="56">
        <v>1</v>
      </c>
      <c r="BW156" s="56">
        <v>1</v>
      </c>
      <c r="BX156" s="55">
        <f t="shared" si="12"/>
        <v>39</v>
      </c>
      <c r="BY156" s="58">
        <v>0</v>
      </c>
    </row>
    <row r="157" spans="61:77" x14ac:dyDescent="0.25">
      <c r="BI157" s="55">
        <f t="shared" si="11"/>
        <v>44</v>
      </c>
      <c r="BJ157" s="78">
        <v>39</v>
      </c>
      <c r="BK157" s="64">
        <v>5</v>
      </c>
      <c r="BL157" s="64">
        <v>1.07</v>
      </c>
      <c r="BM157" s="71">
        <v>1.06</v>
      </c>
      <c r="BN157" s="71">
        <v>1.04</v>
      </c>
      <c r="BO157" s="71">
        <v>1.03</v>
      </c>
      <c r="BP157" s="71">
        <v>1.02</v>
      </c>
      <c r="BQ157" s="71">
        <v>1.01</v>
      </c>
      <c r="BR157" s="56">
        <v>1.02</v>
      </c>
      <c r="BS157" s="56">
        <v>1.03</v>
      </c>
      <c r="BT157" s="56">
        <v>1.05</v>
      </c>
      <c r="BU157" s="56">
        <v>1.07</v>
      </c>
      <c r="BV157" s="56">
        <v>1.0900000000000001</v>
      </c>
      <c r="BW157" s="56">
        <v>1.08</v>
      </c>
      <c r="BX157" s="55">
        <f t="shared" si="12"/>
        <v>44</v>
      </c>
      <c r="BY157" s="58">
        <v>5</v>
      </c>
    </row>
    <row r="158" spans="61:77" x14ac:dyDescent="0.25">
      <c r="BI158" s="55">
        <f t="shared" si="11"/>
        <v>49</v>
      </c>
      <c r="BJ158" s="78">
        <v>39</v>
      </c>
      <c r="BK158" s="64">
        <v>10</v>
      </c>
      <c r="BL158" s="64">
        <v>1.1399999999999999</v>
      </c>
      <c r="BM158" s="71">
        <v>1.1100000000000001</v>
      </c>
      <c r="BN158" s="71">
        <v>1.08</v>
      </c>
      <c r="BO158" s="71">
        <v>1.05</v>
      </c>
      <c r="BP158" s="71">
        <v>1.03</v>
      </c>
      <c r="BQ158" s="71">
        <v>1.02</v>
      </c>
      <c r="BR158" s="56">
        <v>1.03</v>
      </c>
      <c r="BS158" s="56">
        <v>1.06</v>
      </c>
      <c r="BT158" s="56">
        <v>1.1000000000000001</v>
      </c>
      <c r="BU158" s="56">
        <v>1.1399999999999999</v>
      </c>
      <c r="BV158" s="56">
        <v>1.17</v>
      </c>
      <c r="BW158" s="56">
        <v>1.1599999999999999</v>
      </c>
      <c r="BX158" s="55">
        <f t="shared" si="12"/>
        <v>49</v>
      </c>
      <c r="BY158" s="58">
        <v>10</v>
      </c>
    </row>
    <row r="159" spans="61:77" x14ac:dyDescent="0.25">
      <c r="BI159" s="55">
        <f t="shared" si="11"/>
        <v>54</v>
      </c>
      <c r="BJ159" s="78">
        <v>39</v>
      </c>
      <c r="BK159" s="64">
        <v>15</v>
      </c>
      <c r="BL159" s="64">
        <v>1.19</v>
      </c>
      <c r="BM159" s="71">
        <v>1.1599999999999999</v>
      </c>
      <c r="BN159" s="71">
        <v>1.1100000000000001</v>
      </c>
      <c r="BO159" s="71">
        <v>1.07</v>
      </c>
      <c r="BP159" s="71">
        <v>1.03</v>
      </c>
      <c r="BQ159" s="71">
        <v>1.02</v>
      </c>
      <c r="BR159" s="56">
        <v>1.03</v>
      </c>
      <c r="BS159" s="56">
        <v>1.07</v>
      </c>
      <c r="BT159" s="56">
        <v>1.1299999999999999</v>
      </c>
      <c r="BU159" s="56">
        <v>1.2</v>
      </c>
      <c r="BV159" s="56">
        <v>1.24</v>
      </c>
      <c r="BW159" s="56">
        <v>1.23</v>
      </c>
      <c r="BX159" s="55">
        <f t="shared" si="12"/>
        <v>54</v>
      </c>
      <c r="BY159" s="58">
        <v>15</v>
      </c>
    </row>
    <row r="160" spans="61:77" x14ac:dyDescent="0.25">
      <c r="BI160" s="55">
        <f t="shared" si="11"/>
        <v>59</v>
      </c>
      <c r="BJ160" s="78">
        <v>39</v>
      </c>
      <c r="BK160" s="64">
        <v>20</v>
      </c>
      <c r="BL160" s="64">
        <v>1.25</v>
      </c>
      <c r="BM160" s="71">
        <v>1.2</v>
      </c>
      <c r="BN160" s="71">
        <v>1.1399999999999999</v>
      </c>
      <c r="BO160" s="71">
        <v>1.07</v>
      </c>
      <c r="BP160" s="71">
        <v>1.03</v>
      </c>
      <c r="BQ160" s="71">
        <v>1.01</v>
      </c>
      <c r="BR160" s="56">
        <v>1.03</v>
      </c>
      <c r="BS160" s="56">
        <v>1.08</v>
      </c>
      <c r="BT160" s="56">
        <v>1.1599999999999999</v>
      </c>
      <c r="BU160" s="56">
        <v>1.25</v>
      </c>
      <c r="BV160" s="56">
        <v>1.31</v>
      </c>
      <c r="BW160" s="56">
        <v>1.29</v>
      </c>
      <c r="BX160" s="55">
        <f t="shared" si="12"/>
        <v>59</v>
      </c>
      <c r="BY160" s="58">
        <v>20</v>
      </c>
    </row>
    <row r="161" spans="61:77" x14ac:dyDescent="0.25">
      <c r="BI161" s="55">
        <f t="shared" si="11"/>
        <v>64</v>
      </c>
      <c r="BJ161" s="78">
        <v>39</v>
      </c>
      <c r="BK161" s="64">
        <v>25</v>
      </c>
      <c r="BL161" s="64">
        <v>1.29</v>
      </c>
      <c r="BM161" s="71">
        <v>1.23</v>
      </c>
      <c r="BN161" s="71">
        <v>1.1499999999999999</v>
      </c>
      <c r="BO161" s="71">
        <v>1.07</v>
      </c>
      <c r="BP161" s="71">
        <v>1.02</v>
      </c>
      <c r="BQ161" s="71">
        <v>1</v>
      </c>
      <c r="BR161" s="56">
        <v>1.02</v>
      </c>
      <c r="BS161" s="56">
        <v>1.08</v>
      </c>
      <c r="BT161" s="56">
        <v>1.18</v>
      </c>
      <c r="BU161" s="56">
        <v>1.29</v>
      </c>
      <c r="BV161" s="56">
        <v>1.36</v>
      </c>
      <c r="BW161" s="56">
        <v>1.35</v>
      </c>
      <c r="BX161" s="55">
        <f t="shared" si="12"/>
        <v>64</v>
      </c>
      <c r="BY161" s="58">
        <v>25</v>
      </c>
    </row>
    <row r="162" spans="61:77" x14ac:dyDescent="0.25">
      <c r="BI162" s="55">
        <f t="shared" si="11"/>
        <v>69</v>
      </c>
      <c r="BJ162" s="78">
        <v>39</v>
      </c>
      <c r="BK162" s="64">
        <v>30</v>
      </c>
      <c r="BL162" s="64">
        <v>1.33</v>
      </c>
      <c r="BM162" s="71">
        <v>1.25</v>
      </c>
      <c r="BN162" s="71">
        <v>1.1599999999999999</v>
      </c>
      <c r="BO162" s="71">
        <v>1.07</v>
      </c>
      <c r="BP162" s="71">
        <v>1</v>
      </c>
      <c r="BQ162" s="71">
        <v>0.97</v>
      </c>
      <c r="BR162" s="56">
        <v>1</v>
      </c>
      <c r="BS162" s="56">
        <v>1.08</v>
      </c>
      <c r="BT162" s="56">
        <v>1.19</v>
      </c>
      <c r="BU162" s="56">
        <v>1.33</v>
      </c>
      <c r="BV162" s="56">
        <v>1.41</v>
      </c>
      <c r="BW162" s="56">
        <v>1.4</v>
      </c>
      <c r="BX162" s="55">
        <f t="shared" si="12"/>
        <v>69</v>
      </c>
      <c r="BY162" s="58">
        <v>30</v>
      </c>
    </row>
    <row r="163" spans="61:77" x14ac:dyDescent="0.25">
      <c r="BI163" s="55">
        <f t="shared" si="11"/>
        <v>74</v>
      </c>
      <c r="BJ163" s="78">
        <v>39</v>
      </c>
      <c r="BK163" s="64">
        <v>35</v>
      </c>
      <c r="BL163" s="64">
        <v>1.35</v>
      </c>
      <c r="BM163" s="71">
        <v>1.27</v>
      </c>
      <c r="BN163" s="71">
        <v>1.1599999999999999</v>
      </c>
      <c r="BO163" s="71">
        <v>1.05</v>
      </c>
      <c r="BP163" s="71">
        <v>0.97</v>
      </c>
      <c r="BQ163" s="71">
        <v>0.94</v>
      </c>
      <c r="BR163" s="56">
        <v>0.98</v>
      </c>
      <c r="BS163" s="56">
        <v>1.06</v>
      </c>
      <c r="BT163" s="56">
        <v>1.2</v>
      </c>
      <c r="BU163" s="56">
        <v>1.35</v>
      </c>
      <c r="BV163" s="56">
        <v>1.45</v>
      </c>
      <c r="BW163" s="56">
        <v>1.43</v>
      </c>
      <c r="BX163" s="55">
        <f t="shared" si="12"/>
        <v>74</v>
      </c>
      <c r="BY163" s="58">
        <v>35</v>
      </c>
    </row>
    <row r="164" spans="61:77" x14ac:dyDescent="0.25">
      <c r="BI164" s="55">
        <f t="shared" si="11"/>
        <v>79</v>
      </c>
      <c r="BJ164" s="78">
        <v>39</v>
      </c>
      <c r="BK164" s="64">
        <v>40</v>
      </c>
      <c r="BL164" s="64">
        <v>1.37</v>
      </c>
      <c r="BM164" s="71">
        <v>1.27</v>
      </c>
      <c r="BN164" s="71">
        <v>1.1499999999999999</v>
      </c>
      <c r="BO164" s="71">
        <v>1.03</v>
      </c>
      <c r="BP164" s="71">
        <v>0.94</v>
      </c>
      <c r="BQ164" s="71">
        <v>0.91</v>
      </c>
      <c r="BR164" s="56">
        <v>0.94</v>
      </c>
      <c r="BS164" s="56">
        <v>1.04</v>
      </c>
      <c r="BT164" s="56">
        <v>1.19</v>
      </c>
      <c r="BU164" s="56">
        <v>1.37</v>
      </c>
      <c r="BV164" s="56">
        <v>1.48</v>
      </c>
      <c r="BW164" s="56">
        <v>1.46</v>
      </c>
      <c r="BX164" s="55">
        <f t="shared" si="12"/>
        <v>79</v>
      </c>
      <c r="BY164" s="58">
        <v>40</v>
      </c>
    </row>
    <row r="165" spans="61:77" x14ac:dyDescent="0.25">
      <c r="BI165" s="55">
        <f t="shared" si="11"/>
        <v>84</v>
      </c>
      <c r="BJ165" s="78">
        <v>39</v>
      </c>
      <c r="BK165" s="64">
        <v>45</v>
      </c>
      <c r="BL165" s="64">
        <v>1.38</v>
      </c>
      <c r="BM165" s="71">
        <v>1.27</v>
      </c>
      <c r="BN165" s="71">
        <v>1.1399999999999999</v>
      </c>
      <c r="BO165" s="71">
        <v>1</v>
      </c>
      <c r="BP165" s="71">
        <v>0.9</v>
      </c>
      <c r="BQ165" s="71">
        <v>0.87</v>
      </c>
      <c r="BR165" s="56">
        <v>0.9</v>
      </c>
      <c r="BS165" s="56">
        <v>1.01</v>
      </c>
      <c r="BT165" s="56">
        <v>1.18</v>
      </c>
      <c r="BU165" s="56">
        <v>1.37</v>
      </c>
      <c r="BV165" s="56">
        <v>1.5</v>
      </c>
      <c r="BW165" s="56">
        <v>1.48</v>
      </c>
      <c r="BX165" s="55">
        <f t="shared" si="12"/>
        <v>84</v>
      </c>
      <c r="BY165" s="58">
        <v>45</v>
      </c>
    </row>
    <row r="166" spans="61:77" x14ac:dyDescent="0.25">
      <c r="BI166" s="55">
        <f t="shared" si="11"/>
        <v>89</v>
      </c>
      <c r="BJ166" s="78">
        <v>39</v>
      </c>
      <c r="BK166" s="64">
        <v>50</v>
      </c>
      <c r="BL166" s="64">
        <v>1.39</v>
      </c>
      <c r="BM166" s="71">
        <v>1.26</v>
      </c>
      <c r="BN166" s="71">
        <v>1.1200000000000001</v>
      </c>
      <c r="BO166" s="71">
        <v>0.97</v>
      </c>
      <c r="BP166" s="71">
        <v>0.86</v>
      </c>
      <c r="BQ166" s="71">
        <v>0.82</v>
      </c>
      <c r="BR166" s="56">
        <v>0.86</v>
      </c>
      <c r="BS166" s="56">
        <v>0.98</v>
      </c>
      <c r="BT166" s="56">
        <v>1.1599999999999999</v>
      </c>
      <c r="BU166" s="56">
        <v>1.37</v>
      </c>
      <c r="BV166" s="56">
        <v>1.51</v>
      </c>
      <c r="BW166" s="56">
        <v>1.5</v>
      </c>
      <c r="BX166" s="55">
        <f t="shared" si="12"/>
        <v>89</v>
      </c>
      <c r="BY166" s="58">
        <v>50</v>
      </c>
    </row>
    <row r="167" spans="61:77" x14ac:dyDescent="0.25">
      <c r="BI167" s="55">
        <f t="shared" si="11"/>
        <v>94</v>
      </c>
      <c r="BJ167" s="78">
        <v>39</v>
      </c>
      <c r="BK167" s="64">
        <v>55</v>
      </c>
      <c r="BL167" s="64">
        <v>1.38</v>
      </c>
      <c r="BM167" s="71">
        <v>1.25</v>
      </c>
      <c r="BN167" s="71">
        <v>1.0900000000000001</v>
      </c>
      <c r="BO167" s="71">
        <v>0.93</v>
      </c>
      <c r="BP167" s="71">
        <v>0.81</v>
      </c>
      <c r="BQ167" s="71">
        <v>0.77</v>
      </c>
      <c r="BR167" s="56">
        <v>0.81</v>
      </c>
      <c r="BS167" s="56">
        <v>0.94</v>
      </c>
      <c r="BT167" s="56">
        <v>1.1299999999999999</v>
      </c>
      <c r="BU167" s="56">
        <v>1.36</v>
      </c>
      <c r="BV167" s="56">
        <v>1.51</v>
      </c>
      <c r="BW167" s="56">
        <v>1.5</v>
      </c>
      <c r="BX167" s="55">
        <f t="shared" si="12"/>
        <v>94</v>
      </c>
      <c r="BY167" s="58">
        <v>55</v>
      </c>
    </row>
    <row r="168" spans="61:77" x14ac:dyDescent="0.25">
      <c r="BI168" s="55">
        <f t="shared" si="11"/>
        <v>99</v>
      </c>
      <c r="BJ168" s="78">
        <v>39</v>
      </c>
      <c r="BK168" s="64">
        <v>60</v>
      </c>
      <c r="BL168" s="64">
        <v>1.37</v>
      </c>
      <c r="BM168" s="71">
        <v>1.22</v>
      </c>
      <c r="BN168" s="71">
        <v>1.05</v>
      </c>
      <c r="BO168" s="71">
        <v>0.88</v>
      </c>
      <c r="BP168" s="71">
        <v>0.75</v>
      </c>
      <c r="BQ168" s="71">
        <v>0.71</v>
      </c>
      <c r="BR168" s="56">
        <v>0.75</v>
      </c>
      <c r="BS168" s="56">
        <v>0.89</v>
      </c>
      <c r="BT168" s="56">
        <v>1.1000000000000001</v>
      </c>
      <c r="BU168" s="56">
        <v>1.36</v>
      </c>
      <c r="BV168" s="56">
        <v>1.51</v>
      </c>
      <c r="BW168" s="56">
        <v>1.49</v>
      </c>
      <c r="BX168" s="55">
        <f t="shared" si="12"/>
        <v>99</v>
      </c>
      <c r="BY168" s="58">
        <v>60</v>
      </c>
    </row>
    <row r="169" spans="61:77" x14ac:dyDescent="0.25">
      <c r="BI169" s="55">
        <f t="shared" si="11"/>
        <v>104</v>
      </c>
      <c r="BJ169" s="78">
        <v>39</v>
      </c>
      <c r="BK169" s="64">
        <v>65</v>
      </c>
      <c r="BL169" s="64">
        <v>1.35</v>
      </c>
      <c r="BM169" s="71">
        <v>1.19</v>
      </c>
      <c r="BN169" s="71">
        <v>1.01</v>
      </c>
      <c r="BO169" s="71">
        <v>0.83</v>
      </c>
      <c r="BP169" s="71">
        <v>0.69</v>
      </c>
      <c r="BQ169" s="71">
        <v>0.65</v>
      </c>
      <c r="BR169" s="56">
        <v>0.65</v>
      </c>
      <c r="BS169" s="56">
        <v>0.83</v>
      </c>
      <c r="BT169" s="56">
        <v>1.05</v>
      </c>
      <c r="BU169" s="56">
        <v>1.31</v>
      </c>
      <c r="BV169" s="56">
        <v>1.49</v>
      </c>
      <c r="BW169" s="56">
        <v>1.47</v>
      </c>
      <c r="BX169" s="55">
        <f t="shared" si="12"/>
        <v>104</v>
      </c>
      <c r="BY169" s="58">
        <v>65</v>
      </c>
    </row>
    <row r="170" spans="61:77" x14ac:dyDescent="0.25">
      <c r="BI170" s="55">
        <f t="shared" si="11"/>
        <v>109</v>
      </c>
      <c r="BJ170" s="78">
        <v>39</v>
      </c>
      <c r="BK170" s="64">
        <v>70</v>
      </c>
      <c r="BL170" s="64">
        <v>1.32</v>
      </c>
      <c r="BM170" s="71">
        <v>1.1499999999999999</v>
      </c>
      <c r="BN170" s="71">
        <v>0.96</v>
      </c>
      <c r="BO170" s="71">
        <v>0.77</v>
      </c>
      <c r="BP170" s="71">
        <v>0.63</v>
      </c>
      <c r="BQ170" s="71">
        <v>0.57999999999999996</v>
      </c>
      <c r="BR170" s="56">
        <v>0.63</v>
      </c>
      <c r="BS170" s="56">
        <v>0.77</v>
      </c>
      <c r="BT170" s="56">
        <v>1</v>
      </c>
      <c r="BU170" s="56">
        <v>1.27</v>
      </c>
      <c r="BV170" s="56">
        <v>1.46</v>
      </c>
      <c r="BW170" s="56">
        <v>1.45</v>
      </c>
      <c r="BX170" s="55">
        <f t="shared" si="12"/>
        <v>109</v>
      </c>
      <c r="BY170" s="58">
        <v>70</v>
      </c>
    </row>
    <row r="171" spans="61:77" x14ac:dyDescent="0.25">
      <c r="BI171" s="55">
        <f t="shared" si="11"/>
        <v>114</v>
      </c>
      <c r="BJ171" s="78">
        <v>39</v>
      </c>
      <c r="BK171" s="64">
        <v>75</v>
      </c>
      <c r="BL171" s="64">
        <v>1.28</v>
      </c>
      <c r="BM171" s="71">
        <v>1.1100000000000001</v>
      </c>
      <c r="BN171" s="71">
        <v>0.91</v>
      </c>
      <c r="BO171" s="71">
        <v>0.7</v>
      </c>
      <c r="BP171" s="71">
        <v>0.56000000000000005</v>
      </c>
      <c r="BQ171" s="71">
        <v>0.51</v>
      </c>
      <c r="BR171" s="56">
        <v>0.56000000000000005</v>
      </c>
      <c r="BS171" s="56">
        <v>0.71</v>
      </c>
      <c r="BT171" s="56">
        <v>0.95</v>
      </c>
      <c r="BU171" s="56">
        <v>1.23</v>
      </c>
      <c r="BV171" s="56">
        <v>1.42</v>
      </c>
      <c r="BW171" s="56">
        <v>1.41</v>
      </c>
      <c r="BX171" s="55">
        <f t="shared" si="12"/>
        <v>114</v>
      </c>
      <c r="BY171" s="58">
        <v>75</v>
      </c>
    </row>
    <row r="172" spans="61:77" x14ac:dyDescent="0.25">
      <c r="BI172" s="55">
        <f t="shared" si="11"/>
        <v>119</v>
      </c>
      <c r="BJ172" s="78">
        <v>39</v>
      </c>
      <c r="BK172" s="64">
        <v>80</v>
      </c>
      <c r="BL172" s="64">
        <v>1.23</v>
      </c>
      <c r="BM172" s="71">
        <v>1.06</v>
      </c>
      <c r="BN172" s="71">
        <v>0.84</v>
      </c>
      <c r="BO172" s="71">
        <v>0.64</v>
      </c>
      <c r="BP172" s="71">
        <v>0.49</v>
      </c>
      <c r="BQ172" s="71">
        <v>0.43</v>
      </c>
      <c r="BR172" s="56">
        <v>0.48</v>
      </c>
      <c r="BS172" s="56">
        <v>0.64</v>
      </c>
      <c r="BT172" s="56">
        <v>0.88</v>
      </c>
      <c r="BU172" s="56">
        <v>1.17</v>
      </c>
      <c r="BV172" s="56">
        <v>1.37</v>
      </c>
      <c r="BW172" s="56">
        <v>1.37</v>
      </c>
      <c r="BX172" s="55">
        <f t="shared" si="12"/>
        <v>119</v>
      </c>
      <c r="BY172" s="58">
        <v>80</v>
      </c>
    </row>
    <row r="173" spans="61:77" x14ac:dyDescent="0.25">
      <c r="BI173" s="55">
        <f t="shared" si="11"/>
        <v>124</v>
      </c>
      <c r="BJ173" s="78">
        <v>39</v>
      </c>
      <c r="BK173" s="64">
        <v>85</v>
      </c>
      <c r="BL173" s="64">
        <v>1.18</v>
      </c>
      <c r="BM173" s="71">
        <v>1</v>
      </c>
      <c r="BN173" s="71">
        <v>0.78</v>
      </c>
      <c r="BO173" s="71">
        <v>0.56000000000000005</v>
      </c>
      <c r="BP173" s="71">
        <v>0.41</v>
      </c>
      <c r="BQ173" s="71">
        <v>0.35</v>
      </c>
      <c r="BR173" s="56">
        <v>0.41</v>
      </c>
      <c r="BS173" s="56">
        <v>0.56000000000000005</v>
      </c>
      <c r="BT173" s="56">
        <v>0.81</v>
      </c>
      <c r="BU173" s="56">
        <v>1.1100000000000001</v>
      </c>
      <c r="BV173" s="56">
        <v>1.32</v>
      </c>
      <c r="BW173" s="56">
        <v>1.32</v>
      </c>
      <c r="BX173" s="55">
        <f t="shared" si="12"/>
        <v>124</v>
      </c>
      <c r="BY173" s="58">
        <v>85</v>
      </c>
    </row>
    <row r="174" spans="61:77" x14ac:dyDescent="0.25">
      <c r="BI174" s="55">
        <f t="shared" si="11"/>
        <v>129</v>
      </c>
      <c r="BJ174" s="78">
        <v>39</v>
      </c>
      <c r="BK174" s="64">
        <v>90</v>
      </c>
      <c r="BL174" s="64">
        <v>1.1200000000000001</v>
      </c>
      <c r="BM174" s="71">
        <v>0.93</v>
      </c>
      <c r="BN174" s="71">
        <v>0.71</v>
      </c>
      <c r="BO174" s="71">
        <v>0.49</v>
      </c>
      <c r="BP174" s="71">
        <v>0.33</v>
      </c>
      <c r="BQ174" s="71">
        <v>0.28000000000000003</v>
      </c>
      <c r="BR174" s="56">
        <v>0.33</v>
      </c>
      <c r="BS174" s="56">
        <v>0.49</v>
      </c>
      <c r="BT174" s="56">
        <v>0.74</v>
      </c>
      <c r="BU174" s="56">
        <v>1.04</v>
      </c>
      <c r="BV174" s="56">
        <v>1.25</v>
      </c>
      <c r="BW174" s="56">
        <v>1.26</v>
      </c>
      <c r="BX174" s="55">
        <f t="shared" si="12"/>
        <v>129</v>
      </c>
      <c r="BY174" s="58">
        <v>90</v>
      </c>
    </row>
    <row r="175" spans="61:77" x14ac:dyDescent="0.25">
      <c r="BI175" s="55">
        <f t="shared" si="11"/>
        <v>40.1</v>
      </c>
      <c r="BJ175" s="78">
        <v>40.1</v>
      </c>
      <c r="BK175" s="64">
        <v>0</v>
      </c>
      <c r="BL175" s="56">
        <v>1</v>
      </c>
      <c r="BM175" s="57">
        <v>1</v>
      </c>
      <c r="BN175" s="57">
        <v>1</v>
      </c>
      <c r="BO175" s="57">
        <v>1</v>
      </c>
      <c r="BP175" s="57">
        <v>1</v>
      </c>
      <c r="BQ175" s="57">
        <v>1</v>
      </c>
      <c r="BR175" s="57">
        <v>1</v>
      </c>
      <c r="BS175" s="57">
        <v>1</v>
      </c>
      <c r="BT175" s="57">
        <v>1</v>
      </c>
      <c r="BU175" s="57">
        <v>1</v>
      </c>
      <c r="BV175" s="57">
        <v>1</v>
      </c>
      <c r="BW175" s="57">
        <v>1</v>
      </c>
      <c r="BX175" s="55">
        <f t="shared" si="12"/>
        <v>40.1</v>
      </c>
      <c r="BY175" s="58">
        <v>0</v>
      </c>
    </row>
    <row r="176" spans="61:77" x14ac:dyDescent="0.25">
      <c r="BI176" s="55">
        <f t="shared" si="11"/>
        <v>45.1</v>
      </c>
      <c r="BJ176" s="78">
        <v>40.1</v>
      </c>
      <c r="BK176" s="64">
        <v>5</v>
      </c>
      <c r="BL176" s="64">
        <v>1.07</v>
      </c>
      <c r="BM176" s="71">
        <v>1.06</v>
      </c>
      <c r="BN176" s="71">
        <v>1.05</v>
      </c>
      <c r="BO176" s="71">
        <v>1.03</v>
      </c>
      <c r="BP176" s="71">
        <v>1.02</v>
      </c>
      <c r="BQ176" s="71">
        <v>1.01</v>
      </c>
      <c r="BR176" s="71">
        <v>1.02</v>
      </c>
      <c r="BS176" s="71">
        <v>1.03</v>
      </c>
      <c r="BT176" s="71">
        <v>1.05</v>
      </c>
      <c r="BU176" s="71">
        <v>1.08</v>
      </c>
      <c r="BV176" s="71">
        <v>1.0900000000000001</v>
      </c>
      <c r="BW176" s="71">
        <v>1.0900000000000001</v>
      </c>
      <c r="BX176" s="55">
        <f t="shared" si="12"/>
        <v>45.1</v>
      </c>
      <c r="BY176" s="58">
        <v>5</v>
      </c>
    </row>
    <row r="177" spans="61:77" x14ac:dyDescent="0.25">
      <c r="BI177" s="55">
        <f t="shared" si="11"/>
        <v>50.1</v>
      </c>
      <c r="BJ177" s="78">
        <v>40.1</v>
      </c>
      <c r="BK177" s="64">
        <v>10</v>
      </c>
      <c r="BL177" s="64">
        <v>1.1399999999999999</v>
      </c>
      <c r="BM177" s="71">
        <v>1.1100000000000001</v>
      </c>
      <c r="BN177" s="71">
        <v>1.08</v>
      </c>
      <c r="BO177" s="71">
        <v>1.05</v>
      </c>
      <c r="BP177" s="71">
        <v>1.03</v>
      </c>
      <c r="BQ177" s="71">
        <v>1.02</v>
      </c>
      <c r="BR177" s="71">
        <v>1.03</v>
      </c>
      <c r="BS177" s="71">
        <v>1.06</v>
      </c>
      <c r="BT177" s="71">
        <v>1.1000000000000001</v>
      </c>
      <c r="BU177" s="71">
        <v>1.1399999999999999</v>
      </c>
      <c r="BV177" s="71">
        <v>1.17</v>
      </c>
      <c r="BW177" s="71">
        <v>1.1599999999999999</v>
      </c>
      <c r="BX177" s="55">
        <f t="shared" si="12"/>
        <v>50.1</v>
      </c>
      <c r="BY177" s="58">
        <v>10</v>
      </c>
    </row>
    <row r="178" spans="61:77" x14ac:dyDescent="0.25">
      <c r="BI178" s="55">
        <f t="shared" si="11"/>
        <v>55.1</v>
      </c>
      <c r="BJ178" s="78">
        <v>40.1</v>
      </c>
      <c r="BK178" s="64">
        <v>15</v>
      </c>
      <c r="BL178" s="64">
        <v>1.2</v>
      </c>
      <c r="BM178" s="71">
        <v>1.1599999999999999</v>
      </c>
      <c r="BN178" s="71">
        <v>1.1200000000000001</v>
      </c>
      <c r="BO178" s="71">
        <v>1.07</v>
      </c>
      <c r="BP178" s="71">
        <v>1.03</v>
      </c>
      <c r="BQ178" s="71">
        <v>1.02</v>
      </c>
      <c r="BR178" s="71">
        <v>1.04</v>
      </c>
      <c r="BS178" s="71">
        <v>1.08</v>
      </c>
      <c r="BT178" s="71">
        <v>1.1399999999999999</v>
      </c>
      <c r="BU178" s="71">
        <v>1.21</v>
      </c>
      <c r="BV178" s="71">
        <v>1.25</v>
      </c>
      <c r="BW178" s="71">
        <v>1.24</v>
      </c>
      <c r="BX178" s="55">
        <f t="shared" si="12"/>
        <v>55.1</v>
      </c>
      <c r="BY178" s="58">
        <v>15</v>
      </c>
    </row>
    <row r="179" spans="61:77" x14ac:dyDescent="0.25">
      <c r="BI179" s="55">
        <f t="shared" si="11"/>
        <v>60.1</v>
      </c>
      <c r="BJ179" s="78">
        <v>40.1</v>
      </c>
      <c r="BK179" s="64">
        <v>20</v>
      </c>
      <c r="BL179" s="64">
        <v>1.25</v>
      </c>
      <c r="BM179" s="71">
        <v>1.2</v>
      </c>
      <c r="BN179" s="71">
        <v>1.1399999999999999</v>
      </c>
      <c r="BO179" s="71">
        <v>1.08</v>
      </c>
      <c r="BP179" s="71">
        <v>1.03</v>
      </c>
      <c r="BQ179" s="71">
        <v>1.02</v>
      </c>
      <c r="BR179" s="71">
        <v>1.03</v>
      </c>
      <c r="BS179" s="71">
        <v>1.0900000000000001</v>
      </c>
      <c r="BT179" s="71">
        <v>1.17</v>
      </c>
      <c r="BU179" s="71">
        <v>1.26</v>
      </c>
      <c r="BV179" s="71">
        <v>1.32</v>
      </c>
      <c r="BW179" s="71">
        <v>1.3</v>
      </c>
      <c r="BX179" s="55">
        <f t="shared" si="12"/>
        <v>60.1</v>
      </c>
      <c r="BY179" s="58">
        <v>20</v>
      </c>
    </row>
    <row r="180" spans="61:77" x14ac:dyDescent="0.25">
      <c r="BI180" s="55">
        <f t="shared" si="11"/>
        <v>65.099999999999994</v>
      </c>
      <c r="BJ180" s="78">
        <v>40.1</v>
      </c>
      <c r="BK180" s="64">
        <v>25</v>
      </c>
      <c r="BL180" s="64">
        <v>1.3</v>
      </c>
      <c r="BM180" s="71">
        <v>1.23</v>
      </c>
      <c r="BN180" s="71">
        <v>1.1599999999999999</v>
      </c>
      <c r="BO180" s="71">
        <v>1.08</v>
      </c>
      <c r="BP180" s="71">
        <v>1.02</v>
      </c>
      <c r="BQ180" s="71">
        <v>1</v>
      </c>
      <c r="BR180" s="71">
        <v>1.02</v>
      </c>
      <c r="BS180" s="71">
        <v>1.0900000000000001</v>
      </c>
      <c r="BT180" s="71">
        <v>1.19</v>
      </c>
      <c r="BU180" s="71">
        <v>1.3</v>
      </c>
      <c r="BV180" s="71">
        <v>1.38</v>
      </c>
      <c r="BW180" s="71">
        <v>1.36</v>
      </c>
      <c r="BX180" s="55">
        <f t="shared" si="12"/>
        <v>65.099999999999994</v>
      </c>
      <c r="BY180" s="58">
        <v>25</v>
      </c>
    </row>
    <row r="181" spans="61:77" x14ac:dyDescent="0.25">
      <c r="BI181" s="55">
        <f t="shared" si="11"/>
        <v>70.099999999999994</v>
      </c>
      <c r="BJ181" s="78">
        <v>40.1</v>
      </c>
      <c r="BK181" s="64">
        <v>30</v>
      </c>
      <c r="BL181" s="64">
        <v>1.34</v>
      </c>
      <c r="BM181" s="71">
        <v>1.26</v>
      </c>
      <c r="BN181" s="71">
        <v>1.17</v>
      </c>
      <c r="BO181" s="71">
        <v>1.07</v>
      </c>
      <c r="BP181" s="71">
        <v>1.01</v>
      </c>
      <c r="BQ181" s="71">
        <v>0.98</v>
      </c>
      <c r="BR181" s="71">
        <v>1.01</v>
      </c>
      <c r="BS181" s="71">
        <v>1.0900000000000001</v>
      </c>
      <c r="BT181" s="71">
        <v>1.2</v>
      </c>
      <c r="BU181" s="71">
        <v>1.34</v>
      </c>
      <c r="BV181" s="71">
        <v>1.43</v>
      </c>
      <c r="BW181" s="71">
        <v>1.41</v>
      </c>
      <c r="BX181" s="55">
        <f t="shared" si="12"/>
        <v>70.099999999999994</v>
      </c>
      <c r="BY181" s="58">
        <v>30</v>
      </c>
    </row>
    <row r="182" spans="61:77" x14ac:dyDescent="0.25">
      <c r="BI182" s="55">
        <f t="shared" si="11"/>
        <v>75.099999999999994</v>
      </c>
      <c r="BJ182" s="78">
        <v>40.1</v>
      </c>
      <c r="BK182" s="64">
        <v>35</v>
      </c>
      <c r="BL182" s="64">
        <v>1.37</v>
      </c>
      <c r="BM182" s="71">
        <v>1.28</v>
      </c>
      <c r="BN182" s="71">
        <v>1.17</v>
      </c>
      <c r="BO182" s="71">
        <v>1.06</v>
      </c>
      <c r="BP182" s="71">
        <v>0.98</v>
      </c>
      <c r="BQ182" s="71">
        <v>0.95</v>
      </c>
      <c r="BR182" s="71">
        <v>0.98</v>
      </c>
      <c r="BS182" s="71">
        <v>1.07</v>
      </c>
      <c r="BT182" s="71">
        <v>1.21</v>
      </c>
      <c r="BU182" s="71">
        <v>1.37</v>
      </c>
      <c r="BV182" s="71">
        <v>1.47</v>
      </c>
      <c r="BW182" s="71">
        <v>1.45</v>
      </c>
      <c r="BX182" s="55">
        <f t="shared" si="12"/>
        <v>75.099999999999994</v>
      </c>
      <c r="BY182" s="58">
        <v>35</v>
      </c>
    </row>
    <row r="183" spans="61:77" x14ac:dyDescent="0.25">
      <c r="BI183" s="55">
        <f t="shared" si="11"/>
        <v>80.099999999999994</v>
      </c>
      <c r="BJ183" s="78">
        <v>40.1</v>
      </c>
      <c r="BK183" s="64">
        <v>40</v>
      </c>
      <c r="BL183" s="64">
        <v>1.39</v>
      </c>
      <c r="BM183" s="71">
        <v>1.29</v>
      </c>
      <c r="BN183" s="71">
        <v>1.1599999999999999</v>
      </c>
      <c r="BO183" s="71">
        <v>1.04</v>
      </c>
      <c r="BP183" s="71">
        <v>0.95</v>
      </c>
      <c r="BQ183" s="71">
        <v>0.92</v>
      </c>
      <c r="BR183" s="71">
        <v>0.95</v>
      </c>
      <c r="BS183" s="71">
        <v>1.05</v>
      </c>
      <c r="BT183" s="71">
        <v>1.21</v>
      </c>
      <c r="BU183" s="71">
        <v>1.39</v>
      </c>
      <c r="BV183" s="71">
        <v>1.5</v>
      </c>
      <c r="BW183" s="71">
        <v>1.48</v>
      </c>
      <c r="BX183" s="55">
        <f t="shared" si="12"/>
        <v>80.099999999999994</v>
      </c>
      <c r="BY183" s="58">
        <v>40</v>
      </c>
    </row>
    <row r="184" spans="61:77" x14ac:dyDescent="0.25">
      <c r="BI184" s="55">
        <f t="shared" si="11"/>
        <v>85.1</v>
      </c>
      <c r="BJ184" s="78">
        <v>40.1</v>
      </c>
      <c r="BK184" s="64">
        <v>45</v>
      </c>
      <c r="BL184" s="64">
        <v>1.4</v>
      </c>
      <c r="BM184" s="71">
        <v>1.29</v>
      </c>
      <c r="BN184" s="71">
        <v>1.1499999999999999</v>
      </c>
      <c r="BO184" s="71">
        <v>1.01</v>
      </c>
      <c r="BP184" s="71">
        <v>0.91</v>
      </c>
      <c r="BQ184" s="71">
        <v>0.88</v>
      </c>
      <c r="BR184" s="71">
        <v>0.92</v>
      </c>
      <c r="BS184" s="71">
        <v>1.03</v>
      </c>
      <c r="BT184" s="71">
        <v>1.2</v>
      </c>
      <c r="BU184" s="71">
        <v>1.39</v>
      </c>
      <c r="BV184" s="71">
        <v>1.52</v>
      </c>
      <c r="BW184" s="71">
        <v>1.5</v>
      </c>
      <c r="BX184" s="55">
        <f t="shared" si="12"/>
        <v>85.1</v>
      </c>
      <c r="BY184" s="58">
        <v>45</v>
      </c>
    </row>
    <row r="185" spans="61:77" x14ac:dyDescent="0.25">
      <c r="BI185" s="55">
        <f t="shared" si="11"/>
        <v>90.1</v>
      </c>
      <c r="BJ185" s="78">
        <v>40.1</v>
      </c>
      <c r="BK185" s="64">
        <v>50</v>
      </c>
      <c r="BL185" s="64">
        <v>1.41</v>
      </c>
      <c r="BM185" s="71">
        <v>1.28</v>
      </c>
      <c r="BN185" s="71">
        <v>1.1299999999999999</v>
      </c>
      <c r="BO185" s="71">
        <v>0.98</v>
      </c>
      <c r="BP185" s="71">
        <v>0.87</v>
      </c>
      <c r="BQ185" s="71">
        <v>0.83</v>
      </c>
      <c r="BR185" s="71">
        <v>0.87</v>
      </c>
      <c r="BS185" s="71">
        <v>0.99</v>
      </c>
      <c r="BT185" s="71">
        <v>1.18</v>
      </c>
      <c r="BU185" s="71">
        <v>1.39</v>
      </c>
      <c r="BV185" s="71">
        <v>1.54</v>
      </c>
      <c r="BW185" s="71">
        <v>1.52</v>
      </c>
      <c r="BX185" s="55">
        <f t="shared" si="12"/>
        <v>90.1</v>
      </c>
      <c r="BY185" s="58">
        <v>50</v>
      </c>
    </row>
    <row r="186" spans="61:77" x14ac:dyDescent="0.25">
      <c r="BI186" s="55">
        <f t="shared" si="11"/>
        <v>95.1</v>
      </c>
      <c r="BJ186" s="78">
        <v>40.1</v>
      </c>
      <c r="BK186" s="64">
        <v>55</v>
      </c>
      <c r="BL186" s="64">
        <v>1.4</v>
      </c>
      <c r="BM186" s="71">
        <v>1.27</v>
      </c>
      <c r="BN186" s="71">
        <v>1.1000000000000001</v>
      </c>
      <c r="BO186" s="71">
        <v>0.94</v>
      </c>
      <c r="BP186" s="71">
        <v>0.82</v>
      </c>
      <c r="BQ186" s="71">
        <v>0.78</v>
      </c>
      <c r="BR186" s="71">
        <v>0.82</v>
      </c>
      <c r="BS186" s="71">
        <v>0.95</v>
      </c>
      <c r="BT186" s="71">
        <v>1.1499999999999999</v>
      </c>
      <c r="BU186" s="71">
        <v>1.38</v>
      </c>
      <c r="BV186" s="71">
        <v>1.54</v>
      </c>
      <c r="BW186" s="71">
        <v>1.52</v>
      </c>
      <c r="BX186" s="55">
        <f t="shared" si="12"/>
        <v>95.1</v>
      </c>
      <c r="BY186" s="58">
        <v>55</v>
      </c>
    </row>
    <row r="187" spans="61:77" x14ac:dyDescent="0.25">
      <c r="BI187" s="55">
        <f t="shared" si="11"/>
        <v>100.1</v>
      </c>
      <c r="BJ187" s="78">
        <v>40.1</v>
      </c>
      <c r="BK187" s="64">
        <v>60</v>
      </c>
      <c r="BL187" s="64">
        <v>1.39</v>
      </c>
      <c r="BM187" s="71">
        <v>1.24</v>
      </c>
      <c r="BN187" s="71">
        <v>1.07</v>
      </c>
      <c r="BO187" s="71">
        <v>0.89</v>
      </c>
      <c r="BP187" s="71">
        <v>0.77</v>
      </c>
      <c r="BQ187" s="71">
        <v>0.72</v>
      </c>
      <c r="BR187" s="71">
        <v>0.77</v>
      </c>
      <c r="BS187" s="71">
        <v>0.9</v>
      </c>
      <c r="BT187" s="71">
        <v>1.1200000000000001</v>
      </c>
      <c r="BU187" s="71">
        <v>1.36</v>
      </c>
      <c r="BV187" s="71">
        <v>1.53</v>
      </c>
      <c r="BW187" s="71">
        <v>1.51</v>
      </c>
      <c r="BX187" s="55">
        <f t="shared" si="12"/>
        <v>100.1</v>
      </c>
      <c r="BY187" s="58">
        <v>60</v>
      </c>
    </row>
    <row r="188" spans="61:77" x14ac:dyDescent="0.25">
      <c r="BI188" s="55">
        <f t="shared" si="11"/>
        <v>105.1</v>
      </c>
      <c r="BJ188" s="78">
        <v>40.1</v>
      </c>
      <c r="BK188" s="64">
        <v>65</v>
      </c>
      <c r="BL188" s="64">
        <v>1.37</v>
      </c>
      <c r="BM188" s="71">
        <v>1.21</v>
      </c>
      <c r="BN188" s="71">
        <v>1.03</v>
      </c>
      <c r="BO188" s="71">
        <v>0.84</v>
      </c>
      <c r="BP188" s="71">
        <v>0.71</v>
      </c>
      <c r="BQ188" s="71">
        <v>0.66</v>
      </c>
      <c r="BR188" s="71">
        <v>0.71</v>
      </c>
      <c r="BS188" s="71">
        <v>0.85</v>
      </c>
      <c r="BT188" s="71">
        <v>1.07</v>
      </c>
      <c r="BU188" s="71">
        <v>1.34</v>
      </c>
      <c r="BV188" s="71">
        <v>1.51</v>
      </c>
      <c r="BW188" s="71">
        <v>1.5</v>
      </c>
      <c r="BX188" s="55">
        <f t="shared" si="12"/>
        <v>105.1</v>
      </c>
      <c r="BY188" s="58">
        <v>65</v>
      </c>
    </row>
    <row r="189" spans="61:77" x14ac:dyDescent="0.25">
      <c r="BI189" s="55">
        <f t="shared" si="11"/>
        <v>110.1</v>
      </c>
      <c r="BJ189" s="78">
        <v>40.1</v>
      </c>
      <c r="BK189" s="64">
        <v>70</v>
      </c>
      <c r="BL189" s="64">
        <v>1.34</v>
      </c>
      <c r="BM189" s="71">
        <v>1.17</v>
      </c>
      <c r="BN189" s="71">
        <v>0.98</v>
      </c>
      <c r="BO189" s="71">
        <v>0.78</v>
      </c>
      <c r="BP189" s="71">
        <v>0.64</v>
      </c>
      <c r="BQ189" s="71">
        <v>0.59</v>
      </c>
      <c r="BR189" s="71">
        <v>0.64</v>
      </c>
      <c r="BS189" s="71">
        <v>0.79</v>
      </c>
      <c r="BT189" s="71">
        <v>1.02</v>
      </c>
      <c r="BU189" s="71">
        <v>1.3</v>
      </c>
      <c r="BV189" s="71">
        <v>1.49</v>
      </c>
      <c r="BW189" s="71">
        <v>1.47</v>
      </c>
      <c r="BX189" s="55">
        <f t="shared" si="12"/>
        <v>110.1</v>
      </c>
      <c r="BY189" s="58">
        <v>70</v>
      </c>
    </row>
    <row r="190" spans="61:77" x14ac:dyDescent="0.25">
      <c r="BI190" s="55">
        <f t="shared" si="11"/>
        <v>115.1</v>
      </c>
      <c r="BJ190" s="78">
        <v>40.1</v>
      </c>
      <c r="BK190" s="64">
        <v>75</v>
      </c>
      <c r="BL190" s="64">
        <v>1.3</v>
      </c>
      <c r="BM190" s="71">
        <v>1.1299999999999999</v>
      </c>
      <c r="BN190" s="71">
        <v>0.92</v>
      </c>
      <c r="BO190" s="71">
        <v>0.72</v>
      </c>
      <c r="BP190" s="71">
        <v>0.56999999999999995</v>
      </c>
      <c r="BQ190" s="71">
        <v>0.52</v>
      </c>
      <c r="BR190" s="71">
        <v>0.56999999999999995</v>
      </c>
      <c r="BS190" s="71">
        <v>0.73</v>
      </c>
      <c r="BT190" s="71">
        <v>0.97</v>
      </c>
      <c r="BU190" s="71">
        <v>1.25</v>
      </c>
      <c r="BV190" s="71">
        <v>1.45</v>
      </c>
      <c r="BW190" s="71">
        <v>1.44</v>
      </c>
      <c r="BX190" s="55">
        <f t="shared" si="12"/>
        <v>115.1</v>
      </c>
      <c r="BY190" s="58">
        <v>75</v>
      </c>
    </row>
    <row r="191" spans="61:77" x14ac:dyDescent="0.25">
      <c r="BI191" s="55">
        <f t="shared" si="11"/>
        <v>120.1</v>
      </c>
      <c r="BJ191" s="78">
        <v>40.1</v>
      </c>
      <c r="BK191" s="64">
        <v>80</v>
      </c>
      <c r="BL191" s="64">
        <v>1.25</v>
      </c>
      <c r="BM191" s="71">
        <v>1.08</v>
      </c>
      <c r="BN191" s="71">
        <v>0.86</v>
      </c>
      <c r="BO191" s="71">
        <v>0.65</v>
      </c>
      <c r="BP191" s="71">
        <v>0.5</v>
      </c>
      <c r="BQ191" s="71">
        <v>0.45</v>
      </c>
      <c r="BR191" s="71">
        <v>0.5</v>
      </c>
      <c r="BS191" s="71">
        <v>0.66</v>
      </c>
      <c r="BT191" s="71">
        <v>0.9</v>
      </c>
      <c r="BU191" s="71">
        <v>1.2</v>
      </c>
      <c r="BV191" s="71">
        <v>1.41</v>
      </c>
      <c r="BW191" s="71">
        <v>1.4</v>
      </c>
      <c r="BX191" s="55">
        <f t="shared" si="12"/>
        <v>120.1</v>
      </c>
      <c r="BY191" s="58">
        <v>80</v>
      </c>
    </row>
    <row r="192" spans="61:77" x14ac:dyDescent="0.25">
      <c r="BI192" s="55">
        <f t="shared" si="11"/>
        <v>125.1</v>
      </c>
      <c r="BJ192" s="78">
        <v>40.1</v>
      </c>
      <c r="BK192" s="64">
        <v>85</v>
      </c>
      <c r="BL192" s="64">
        <v>1.2</v>
      </c>
      <c r="BM192" s="71">
        <v>1.02</v>
      </c>
      <c r="BN192" s="71">
        <v>0.8</v>
      </c>
      <c r="BO192" s="71">
        <v>0.57999999999999996</v>
      </c>
      <c r="BP192" s="71">
        <v>0.43</v>
      </c>
      <c r="BQ192" s="71">
        <v>0.37</v>
      </c>
      <c r="BR192" s="71">
        <v>0.42</v>
      </c>
      <c r="BS192" s="71">
        <v>0.57999999999999996</v>
      </c>
      <c r="BT192" s="71">
        <v>0.84</v>
      </c>
      <c r="BU192" s="71">
        <v>1.1399999999999999</v>
      </c>
      <c r="BV192" s="71">
        <v>1.35</v>
      </c>
      <c r="BW192" s="71">
        <v>1.35</v>
      </c>
      <c r="BX192" s="55">
        <f t="shared" si="12"/>
        <v>125.1</v>
      </c>
      <c r="BY192" s="58">
        <v>85</v>
      </c>
    </row>
    <row r="193" spans="61:77" x14ac:dyDescent="0.25">
      <c r="BI193" s="55">
        <f t="shared" si="11"/>
        <v>130.1</v>
      </c>
      <c r="BJ193" s="78">
        <v>40.1</v>
      </c>
      <c r="BK193" s="64">
        <v>90</v>
      </c>
      <c r="BL193" s="64">
        <v>1.1399999999999999</v>
      </c>
      <c r="BM193" s="71">
        <v>0.95</v>
      </c>
      <c r="BN193" s="71">
        <v>0.73</v>
      </c>
      <c r="BO193" s="71">
        <v>0.5</v>
      </c>
      <c r="BP193" s="71">
        <v>0.35</v>
      </c>
      <c r="BQ193" s="71">
        <v>0.28999999999999998</v>
      </c>
      <c r="BR193" s="71">
        <v>0.34</v>
      </c>
      <c r="BS193" s="71">
        <v>0.5</v>
      </c>
      <c r="BT193" s="71">
        <v>0.76</v>
      </c>
      <c r="BU193" s="71">
        <v>1.07</v>
      </c>
      <c r="BV193" s="71">
        <v>1.29</v>
      </c>
      <c r="BW193" s="71">
        <v>1.29</v>
      </c>
      <c r="BX193" s="55">
        <f t="shared" si="12"/>
        <v>130.1</v>
      </c>
      <c r="BY193" s="58">
        <v>90</v>
      </c>
    </row>
    <row r="194" spans="61:77" x14ac:dyDescent="0.25">
      <c r="BI194" s="55">
        <f t="shared" si="11"/>
        <v>41</v>
      </c>
      <c r="BJ194" s="78">
        <v>41</v>
      </c>
      <c r="BK194" s="64">
        <v>0</v>
      </c>
      <c r="BL194" s="56">
        <v>1</v>
      </c>
      <c r="BM194" s="57">
        <v>1</v>
      </c>
      <c r="BN194" s="57">
        <v>1</v>
      </c>
      <c r="BO194" s="57">
        <v>1</v>
      </c>
      <c r="BP194" s="56">
        <v>1</v>
      </c>
      <c r="BQ194" s="56">
        <v>1</v>
      </c>
      <c r="BR194" s="56">
        <v>1</v>
      </c>
      <c r="BS194" s="56">
        <v>1</v>
      </c>
      <c r="BT194" s="56">
        <v>1</v>
      </c>
      <c r="BU194" s="56">
        <v>1</v>
      </c>
      <c r="BV194" s="56">
        <v>1</v>
      </c>
      <c r="BW194" s="56">
        <v>1</v>
      </c>
      <c r="BX194" s="55">
        <f t="shared" si="12"/>
        <v>41</v>
      </c>
      <c r="BY194" s="58">
        <v>0</v>
      </c>
    </row>
    <row r="195" spans="61:77" x14ac:dyDescent="0.25">
      <c r="BI195" s="55">
        <f t="shared" si="11"/>
        <v>46</v>
      </c>
      <c r="BJ195" s="78">
        <v>41</v>
      </c>
      <c r="BK195" s="64">
        <v>5</v>
      </c>
      <c r="BL195" s="64">
        <v>1.07</v>
      </c>
      <c r="BM195" s="71">
        <v>1.06</v>
      </c>
      <c r="BN195" s="71">
        <v>1.05</v>
      </c>
      <c r="BO195" s="71">
        <v>1.03</v>
      </c>
      <c r="BP195" s="56">
        <v>1.02</v>
      </c>
      <c r="BQ195" s="56">
        <v>1.02</v>
      </c>
      <c r="BR195" s="56">
        <v>1.02</v>
      </c>
      <c r="BS195" s="56">
        <v>1.03</v>
      </c>
      <c r="BT195" s="56">
        <v>1.05</v>
      </c>
      <c r="BU195" s="56">
        <v>1.08</v>
      </c>
      <c r="BV195" s="56">
        <v>1.0900000000000001</v>
      </c>
      <c r="BW195" s="56">
        <v>1.0900000000000001</v>
      </c>
      <c r="BX195" s="55">
        <f t="shared" si="12"/>
        <v>46</v>
      </c>
      <c r="BY195" s="58">
        <v>5</v>
      </c>
    </row>
    <row r="196" spans="61:77" x14ac:dyDescent="0.25">
      <c r="BI196" s="55">
        <f t="shared" si="11"/>
        <v>51</v>
      </c>
      <c r="BJ196" s="78">
        <v>41</v>
      </c>
      <c r="BK196" s="64">
        <v>10</v>
      </c>
      <c r="BL196" s="64">
        <v>1.1399999999999999</v>
      </c>
      <c r="BM196" s="71">
        <v>1.1200000000000001</v>
      </c>
      <c r="BN196" s="71">
        <v>1.0900000000000001</v>
      </c>
      <c r="BO196" s="71">
        <v>1.06</v>
      </c>
      <c r="BP196" s="56">
        <v>1.03</v>
      </c>
      <c r="BQ196" s="56">
        <v>1.02</v>
      </c>
      <c r="BR196" s="56">
        <v>1.03</v>
      </c>
      <c r="BS196" s="56">
        <v>1.06</v>
      </c>
      <c r="BT196" s="56">
        <v>1.1000000000000001</v>
      </c>
      <c r="BU196" s="56">
        <v>1.1499999999999999</v>
      </c>
      <c r="BV196" s="56">
        <v>1.18</v>
      </c>
      <c r="BW196" s="56">
        <v>1.17</v>
      </c>
      <c r="BX196" s="55">
        <f t="shared" si="12"/>
        <v>51</v>
      </c>
      <c r="BY196" s="58">
        <v>10</v>
      </c>
    </row>
    <row r="197" spans="61:77" x14ac:dyDescent="0.25">
      <c r="BI197" s="55">
        <f t="shared" ref="BI197:BI249" si="13">BJ197+BK197</f>
        <v>56</v>
      </c>
      <c r="BJ197" s="78">
        <v>41</v>
      </c>
      <c r="BK197" s="64">
        <v>15</v>
      </c>
      <c r="BL197" s="64">
        <v>1.21</v>
      </c>
      <c r="BM197" s="71">
        <v>1.17</v>
      </c>
      <c r="BN197" s="71">
        <v>1.1200000000000001</v>
      </c>
      <c r="BO197" s="71">
        <v>1.07</v>
      </c>
      <c r="BP197" s="56">
        <v>1.04</v>
      </c>
      <c r="BQ197" s="56">
        <v>1.03</v>
      </c>
      <c r="BR197" s="56">
        <v>1.04</v>
      </c>
      <c r="BS197" s="56">
        <v>1.08</v>
      </c>
      <c r="BT197" s="56">
        <v>1.1399999999999999</v>
      </c>
      <c r="BU197" s="56">
        <v>1.21</v>
      </c>
      <c r="BV197" s="56">
        <v>1.26</v>
      </c>
      <c r="BW197" s="56">
        <v>1.24</v>
      </c>
      <c r="BX197" s="55">
        <f t="shared" ref="BX197:BX250" si="14">BJ197+BK197</f>
        <v>56</v>
      </c>
      <c r="BY197" s="58">
        <v>15</v>
      </c>
    </row>
    <row r="198" spans="61:77" x14ac:dyDescent="0.25">
      <c r="BI198" s="55">
        <f t="shared" si="13"/>
        <v>61</v>
      </c>
      <c r="BJ198" s="78">
        <v>41</v>
      </c>
      <c r="BK198" s="64">
        <v>20</v>
      </c>
      <c r="BL198" s="64">
        <v>1.26</v>
      </c>
      <c r="BM198" s="71">
        <v>1.21</v>
      </c>
      <c r="BN198" s="71">
        <v>1.1499999999999999</v>
      </c>
      <c r="BO198" s="71">
        <v>1.08</v>
      </c>
      <c r="BP198" s="56">
        <v>1.04</v>
      </c>
      <c r="BQ198" s="56">
        <v>1.02</v>
      </c>
      <c r="BR198" s="56">
        <v>1.04</v>
      </c>
      <c r="BS198" s="56">
        <v>1.0900000000000001</v>
      </c>
      <c r="BT198" s="56">
        <v>1.17</v>
      </c>
      <c r="BU198" s="56">
        <v>1.27</v>
      </c>
      <c r="BV198" s="56">
        <v>1.33</v>
      </c>
      <c r="BW198" s="56">
        <v>1.31</v>
      </c>
      <c r="BX198" s="55">
        <f t="shared" si="14"/>
        <v>61</v>
      </c>
      <c r="BY198" s="58">
        <v>20</v>
      </c>
    </row>
    <row r="199" spans="61:77" x14ac:dyDescent="0.25">
      <c r="BI199" s="55">
        <f t="shared" si="13"/>
        <v>66</v>
      </c>
      <c r="BJ199" s="78">
        <v>41</v>
      </c>
      <c r="BK199" s="64">
        <v>25</v>
      </c>
      <c r="BL199" s="64">
        <v>1.31</v>
      </c>
      <c r="BM199" s="71">
        <v>1.24</v>
      </c>
      <c r="BN199" s="71">
        <v>1.17</v>
      </c>
      <c r="BO199" s="71">
        <v>1.0900000000000001</v>
      </c>
      <c r="BP199" s="56">
        <v>1.03</v>
      </c>
      <c r="BQ199" s="56">
        <v>1.01</v>
      </c>
      <c r="BR199" s="56">
        <v>1.03</v>
      </c>
      <c r="BS199" s="56">
        <v>1.1000000000000001</v>
      </c>
      <c r="BT199" s="56">
        <v>1.2</v>
      </c>
      <c r="BU199" s="56">
        <v>1.32</v>
      </c>
      <c r="BV199" s="56">
        <v>1.39</v>
      </c>
      <c r="BW199" s="56">
        <v>1.37</v>
      </c>
      <c r="BX199" s="55">
        <f t="shared" si="14"/>
        <v>66</v>
      </c>
      <c r="BY199" s="58">
        <v>25</v>
      </c>
    </row>
    <row r="200" spans="61:77" x14ac:dyDescent="0.25">
      <c r="BI200" s="55">
        <f t="shared" si="13"/>
        <v>71</v>
      </c>
      <c r="BJ200" s="78">
        <v>41</v>
      </c>
      <c r="BK200" s="64">
        <v>30</v>
      </c>
      <c r="BL200" s="64">
        <v>1.35</v>
      </c>
      <c r="BM200" s="71">
        <v>1.27</v>
      </c>
      <c r="BN200" s="71">
        <v>1.18</v>
      </c>
      <c r="BO200" s="71">
        <v>1.08</v>
      </c>
      <c r="BP200" s="56">
        <v>1.01</v>
      </c>
      <c r="BQ200" s="56">
        <v>0.99</v>
      </c>
      <c r="BR200" s="56">
        <v>1.02</v>
      </c>
      <c r="BS200" s="56">
        <v>1.0900000000000001</v>
      </c>
      <c r="BT200" s="56">
        <v>1.21</v>
      </c>
      <c r="BU200" s="56">
        <v>1.35</v>
      </c>
      <c r="BV200" s="56">
        <v>1.44</v>
      </c>
      <c r="BW200" s="56">
        <v>1.42</v>
      </c>
      <c r="BX200" s="55">
        <f t="shared" si="14"/>
        <v>71</v>
      </c>
      <c r="BY200" s="58">
        <v>30</v>
      </c>
    </row>
    <row r="201" spans="61:77" x14ac:dyDescent="0.25">
      <c r="BI201" s="55">
        <f t="shared" si="13"/>
        <v>76</v>
      </c>
      <c r="BJ201" s="78">
        <v>41</v>
      </c>
      <c r="BK201" s="69">
        <v>35</v>
      </c>
      <c r="BL201" s="69">
        <v>1.38</v>
      </c>
      <c r="BM201" s="70">
        <v>1.29</v>
      </c>
      <c r="BN201" s="70">
        <v>1.18</v>
      </c>
      <c r="BO201" s="70">
        <v>1.07</v>
      </c>
      <c r="BP201" s="61">
        <v>0.99</v>
      </c>
      <c r="BQ201" s="61">
        <v>0.96</v>
      </c>
      <c r="BR201" s="61">
        <v>0.99</v>
      </c>
      <c r="BS201" s="61">
        <v>1.08</v>
      </c>
      <c r="BT201" s="61">
        <v>1.22</v>
      </c>
      <c r="BU201" s="61">
        <v>1.38</v>
      </c>
      <c r="BV201" s="61">
        <v>1.49</v>
      </c>
      <c r="BW201" s="61">
        <v>1.47</v>
      </c>
      <c r="BX201" s="55">
        <f t="shared" si="14"/>
        <v>76</v>
      </c>
      <c r="BY201" s="107">
        <v>35</v>
      </c>
    </row>
    <row r="202" spans="61:77" x14ac:dyDescent="0.25">
      <c r="BI202" s="55">
        <f t="shared" si="13"/>
        <v>81</v>
      </c>
      <c r="BJ202" s="78">
        <v>41</v>
      </c>
      <c r="BK202" s="64">
        <v>40</v>
      </c>
      <c r="BL202" s="64">
        <v>1.4</v>
      </c>
      <c r="BM202" s="71">
        <v>1.3</v>
      </c>
      <c r="BN202" s="71">
        <v>1.18</v>
      </c>
      <c r="BO202" s="71">
        <v>1.05</v>
      </c>
      <c r="BP202" s="56">
        <v>0.96</v>
      </c>
      <c r="BQ202" s="56">
        <v>0.93</v>
      </c>
      <c r="BR202" s="56">
        <v>0.96</v>
      </c>
      <c r="BS202" s="56">
        <v>1.06</v>
      </c>
      <c r="BT202" s="56">
        <v>1.22</v>
      </c>
      <c r="BU202" s="56">
        <v>1.4</v>
      </c>
      <c r="BV202" s="56">
        <v>1.52</v>
      </c>
      <c r="BW202" s="56">
        <v>1.5</v>
      </c>
      <c r="BX202" s="55">
        <f t="shared" si="14"/>
        <v>81</v>
      </c>
      <c r="BY202" s="58">
        <v>40</v>
      </c>
    </row>
    <row r="203" spans="61:77" x14ac:dyDescent="0.25">
      <c r="BI203" s="55">
        <f t="shared" si="13"/>
        <v>86</v>
      </c>
      <c r="BJ203" s="78">
        <v>41</v>
      </c>
      <c r="BK203" s="64">
        <v>45</v>
      </c>
      <c r="BL203" s="64">
        <v>1.42</v>
      </c>
      <c r="BM203" s="71">
        <v>1.3</v>
      </c>
      <c r="BN203" s="71">
        <v>1.1599999999999999</v>
      </c>
      <c r="BO203" s="71">
        <v>1.03</v>
      </c>
      <c r="BP203" s="56">
        <v>0.93</v>
      </c>
      <c r="BQ203" s="56">
        <v>0.89</v>
      </c>
      <c r="BR203" s="56">
        <v>0.93</v>
      </c>
      <c r="BS203" s="56">
        <v>1.04</v>
      </c>
      <c r="BT203" s="56">
        <v>1.21</v>
      </c>
      <c r="BU203" s="56">
        <v>1.41</v>
      </c>
      <c r="BV203" s="56">
        <v>1.55</v>
      </c>
      <c r="BW203" s="56">
        <v>1.52</v>
      </c>
      <c r="BX203" s="55">
        <f t="shared" si="14"/>
        <v>86</v>
      </c>
      <c r="BY203" s="58">
        <v>45</v>
      </c>
    </row>
    <row r="204" spans="61:77" x14ac:dyDescent="0.25">
      <c r="BI204" s="55">
        <f t="shared" si="13"/>
        <v>91</v>
      </c>
      <c r="BJ204" s="78">
        <v>41</v>
      </c>
      <c r="BK204" s="64">
        <v>50</v>
      </c>
      <c r="BL204" s="64">
        <v>1.42</v>
      </c>
      <c r="BM204" s="71">
        <v>1.3</v>
      </c>
      <c r="BN204" s="71">
        <v>1.1399999999999999</v>
      </c>
      <c r="BO204" s="71">
        <v>0.99</v>
      </c>
      <c r="BP204" s="56">
        <v>0.88</v>
      </c>
      <c r="BQ204" s="56">
        <v>0.84</v>
      </c>
      <c r="BR204" s="56">
        <v>0.88</v>
      </c>
      <c r="BS204" s="56">
        <v>1.01</v>
      </c>
      <c r="BT204" s="56">
        <v>1.19</v>
      </c>
      <c r="BU204" s="56">
        <v>1.41</v>
      </c>
      <c r="BV204" s="56">
        <v>1.56</v>
      </c>
      <c r="BW204" s="56">
        <v>1.54</v>
      </c>
      <c r="BX204" s="55">
        <f t="shared" si="14"/>
        <v>91</v>
      </c>
      <c r="BY204" s="58">
        <v>50</v>
      </c>
    </row>
    <row r="205" spans="61:77" x14ac:dyDescent="0.25">
      <c r="BI205" s="55">
        <f t="shared" si="13"/>
        <v>96</v>
      </c>
      <c r="BJ205" s="78">
        <v>41</v>
      </c>
      <c r="BK205" s="64">
        <v>55</v>
      </c>
      <c r="BL205" s="64">
        <v>1.42</v>
      </c>
      <c r="BM205" s="71">
        <v>1.28</v>
      </c>
      <c r="BN205" s="71">
        <v>1.1200000000000001</v>
      </c>
      <c r="BO205" s="71">
        <v>0.95</v>
      </c>
      <c r="BP205" s="56">
        <v>0.83</v>
      </c>
      <c r="BQ205" s="56">
        <v>0.79</v>
      </c>
      <c r="BR205" s="56">
        <v>0.84</v>
      </c>
      <c r="BS205" s="56">
        <v>0.97</v>
      </c>
      <c r="BT205" s="56">
        <v>1.17</v>
      </c>
      <c r="BU205" s="56">
        <v>1.41</v>
      </c>
      <c r="BV205" s="56">
        <v>1.57</v>
      </c>
      <c r="BW205" s="56">
        <v>1.54</v>
      </c>
      <c r="BX205" s="55">
        <f t="shared" si="14"/>
        <v>96</v>
      </c>
      <c r="BY205" s="58">
        <v>55</v>
      </c>
    </row>
    <row r="206" spans="61:77" x14ac:dyDescent="0.25">
      <c r="BI206" s="55">
        <f t="shared" si="13"/>
        <v>101</v>
      </c>
      <c r="BJ206" s="78">
        <v>41</v>
      </c>
      <c r="BK206" s="64">
        <v>60</v>
      </c>
      <c r="BL206" s="64">
        <v>1.41</v>
      </c>
      <c r="BM206" s="71">
        <v>1.26</v>
      </c>
      <c r="BN206" s="71">
        <v>1.08</v>
      </c>
      <c r="BO206" s="71">
        <v>0.91</v>
      </c>
      <c r="BP206" s="56">
        <v>0.78</v>
      </c>
      <c r="BQ206" s="56">
        <v>0.73</v>
      </c>
      <c r="BR206" s="56">
        <v>0.78</v>
      </c>
      <c r="BS206" s="56">
        <v>0.92</v>
      </c>
      <c r="BT206" s="56">
        <v>1.1399999999999999</v>
      </c>
      <c r="BU206" s="56">
        <v>1.39</v>
      </c>
      <c r="BV206" s="56">
        <v>1.56</v>
      </c>
      <c r="BW206" s="56">
        <v>1.54</v>
      </c>
      <c r="BX206" s="55">
        <f t="shared" si="14"/>
        <v>101</v>
      </c>
      <c r="BY206" s="58">
        <v>60</v>
      </c>
    </row>
    <row r="207" spans="61:77" x14ac:dyDescent="0.25">
      <c r="BI207" s="55">
        <f t="shared" si="13"/>
        <v>106</v>
      </c>
      <c r="BJ207" s="78">
        <v>41</v>
      </c>
      <c r="BK207" s="64">
        <v>65</v>
      </c>
      <c r="BL207" s="64">
        <v>1.39</v>
      </c>
      <c r="BM207" s="71">
        <v>1.23</v>
      </c>
      <c r="BN207" s="71">
        <v>1.04</v>
      </c>
      <c r="BO207" s="71">
        <v>0.85</v>
      </c>
      <c r="BP207" s="56">
        <v>0.72</v>
      </c>
      <c r="BQ207" s="56">
        <v>0.67</v>
      </c>
      <c r="BR207" s="56">
        <v>0.72</v>
      </c>
      <c r="BS207" s="56">
        <v>0.87</v>
      </c>
      <c r="BT207" s="56">
        <v>1.0900000000000001</v>
      </c>
      <c r="BU207" s="56">
        <v>1.36</v>
      </c>
      <c r="BV207" s="56">
        <v>1.54</v>
      </c>
      <c r="BW207" s="56">
        <v>1.53</v>
      </c>
      <c r="BX207" s="55">
        <f t="shared" si="14"/>
        <v>106</v>
      </c>
      <c r="BY207" s="58">
        <v>65</v>
      </c>
    </row>
    <row r="208" spans="61:77" x14ac:dyDescent="0.25">
      <c r="BI208" s="55">
        <f t="shared" si="13"/>
        <v>111</v>
      </c>
      <c r="BJ208" s="78">
        <v>41</v>
      </c>
      <c r="BK208" s="64">
        <v>70</v>
      </c>
      <c r="BL208" s="64">
        <v>1.36</v>
      </c>
      <c r="BM208" s="71">
        <v>1.19</v>
      </c>
      <c r="BN208" s="71">
        <v>0.99</v>
      </c>
      <c r="BO208" s="71">
        <v>0.8</v>
      </c>
      <c r="BP208" s="56">
        <v>0.66</v>
      </c>
      <c r="BQ208" s="56">
        <v>0.61</v>
      </c>
      <c r="BR208" s="56">
        <v>0.66</v>
      </c>
      <c r="BS208" s="56">
        <v>0.81</v>
      </c>
      <c r="BT208" s="56">
        <v>1.04</v>
      </c>
      <c r="BU208" s="56">
        <v>1.32</v>
      </c>
      <c r="BV208" s="56">
        <v>1.52</v>
      </c>
      <c r="BW208" s="56">
        <v>1.5</v>
      </c>
      <c r="BX208" s="55">
        <f t="shared" si="14"/>
        <v>111</v>
      </c>
      <c r="BY208" s="58">
        <v>70</v>
      </c>
    </row>
    <row r="209" spans="61:77" x14ac:dyDescent="0.25">
      <c r="BI209" s="55">
        <f t="shared" si="13"/>
        <v>116</v>
      </c>
      <c r="BJ209" s="78">
        <v>41</v>
      </c>
      <c r="BK209" s="64">
        <v>75</v>
      </c>
      <c r="BL209" s="64">
        <v>1.32</v>
      </c>
      <c r="BM209" s="71">
        <v>1.1499999999999999</v>
      </c>
      <c r="BN209" s="71">
        <v>0.94</v>
      </c>
      <c r="BO209" s="71">
        <v>0.73</v>
      </c>
      <c r="BP209" s="56">
        <v>0.59</v>
      </c>
      <c r="BQ209" s="56">
        <v>0.54</v>
      </c>
      <c r="BR209" s="56">
        <v>0.59</v>
      </c>
      <c r="BS209" s="56">
        <v>0.74</v>
      </c>
      <c r="BT209" s="56">
        <v>0.99</v>
      </c>
      <c r="BU209" s="56">
        <v>1.28</v>
      </c>
      <c r="BV209" s="56">
        <v>1.48</v>
      </c>
      <c r="BW209" s="56">
        <v>1.47</v>
      </c>
      <c r="BX209" s="55">
        <f t="shared" si="14"/>
        <v>116</v>
      </c>
      <c r="BY209" s="58">
        <v>75</v>
      </c>
    </row>
    <row r="210" spans="61:77" x14ac:dyDescent="0.25">
      <c r="BI210" s="55">
        <f t="shared" si="13"/>
        <v>121</v>
      </c>
      <c r="BJ210" s="78">
        <v>41</v>
      </c>
      <c r="BK210" s="64">
        <v>80</v>
      </c>
      <c r="BL210" s="64">
        <v>1.26</v>
      </c>
      <c r="BM210" s="71">
        <v>1.1000000000000001</v>
      </c>
      <c r="BN210" s="71">
        <v>0.88</v>
      </c>
      <c r="BO210" s="71">
        <v>0.67</v>
      </c>
      <c r="BP210" s="56">
        <v>0.52</v>
      </c>
      <c r="BQ210" s="56">
        <v>0.46</v>
      </c>
      <c r="BR210" s="56">
        <v>0.52</v>
      </c>
      <c r="BS210" s="56">
        <v>0.67</v>
      </c>
      <c r="BT210" s="56">
        <v>0.93</v>
      </c>
      <c r="BU210" s="56">
        <v>1.23</v>
      </c>
      <c r="BV210" s="56">
        <v>1.44</v>
      </c>
      <c r="BW210" s="56">
        <v>1.43</v>
      </c>
      <c r="BX210" s="55">
        <f t="shared" si="14"/>
        <v>121</v>
      </c>
      <c r="BY210" s="58">
        <v>80</v>
      </c>
    </row>
    <row r="211" spans="61:77" x14ac:dyDescent="0.25">
      <c r="BI211" s="55">
        <f t="shared" si="13"/>
        <v>126</v>
      </c>
      <c r="BJ211" s="78">
        <v>41</v>
      </c>
      <c r="BK211" s="64">
        <v>85</v>
      </c>
      <c r="BL211" s="64">
        <v>1.23</v>
      </c>
      <c r="BM211" s="71">
        <v>1.04</v>
      </c>
      <c r="BN211" s="71">
        <v>0.82</v>
      </c>
      <c r="BO211" s="71">
        <v>0.6</v>
      </c>
      <c r="BP211" s="56">
        <v>0.44</v>
      </c>
      <c r="BQ211" s="56">
        <v>0.39</v>
      </c>
      <c r="BR211" s="56">
        <v>0.44</v>
      </c>
      <c r="BS211" s="56">
        <v>0.6</v>
      </c>
      <c r="BT211" s="56">
        <v>0.86</v>
      </c>
      <c r="BU211" s="56">
        <v>1.1599999999999999</v>
      </c>
      <c r="BV211" s="56">
        <v>1.38</v>
      </c>
      <c r="BW211" s="56">
        <v>1.38</v>
      </c>
      <c r="BX211" s="55">
        <f t="shared" si="14"/>
        <v>126</v>
      </c>
      <c r="BY211" s="58">
        <v>85</v>
      </c>
    </row>
    <row r="212" spans="61:77" x14ac:dyDescent="0.25">
      <c r="BI212" s="55">
        <f t="shared" si="13"/>
        <v>131</v>
      </c>
      <c r="BJ212" s="78">
        <v>41</v>
      </c>
      <c r="BK212" s="64">
        <v>90</v>
      </c>
      <c r="BL212" s="64">
        <v>1.17</v>
      </c>
      <c r="BM212" s="71">
        <v>0.98</v>
      </c>
      <c r="BN212" s="71">
        <v>0.74</v>
      </c>
      <c r="BO212" s="71">
        <v>0.52</v>
      </c>
      <c r="BP212" s="56">
        <v>0.36</v>
      </c>
      <c r="BQ212" s="56">
        <v>0.31</v>
      </c>
      <c r="BR212" s="56">
        <v>0.36</v>
      </c>
      <c r="BS212" s="56">
        <v>0.52</v>
      </c>
      <c r="BT212" s="56">
        <v>0.78</v>
      </c>
      <c r="BU212" s="56">
        <v>1.0900000000000001</v>
      </c>
      <c r="BV212" s="56">
        <v>1.32</v>
      </c>
      <c r="BW212" s="56">
        <v>1.32</v>
      </c>
      <c r="BX212" s="55">
        <f t="shared" si="14"/>
        <v>131</v>
      </c>
      <c r="BY212" s="58">
        <v>90</v>
      </c>
    </row>
    <row r="213" spans="61:77" x14ac:dyDescent="0.25">
      <c r="BI213" s="55">
        <f t="shared" si="13"/>
        <v>42</v>
      </c>
      <c r="BJ213" s="78">
        <v>42</v>
      </c>
      <c r="BK213" s="64">
        <v>0</v>
      </c>
      <c r="BL213" s="56">
        <v>1</v>
      </c>
      <c r="BM213" s="57">
        <v>1</v>
      </c>
      <c r="BN213" s="57">
        <v>1</v>
      </c>
      <c r="BO213" s="57">
        <v>1</v>
      </c>
      <c r="BP213" s="57">
        <v>1</v>
      </c>
      <c r="BQ213" s="57">
        <v>1</v>
      </c>
      <c r="BR213" s="57">
        <v>1</v>
      </c>
      <c r="BS213" s="56">
        <v>1</v>
      </c>
      <c r="BT213" s="56">
        <v>1</v>
      </c>
      <c r="BU213" s="56">
        <v>1</v>
      </c>
      <c r="BV213" s="56">
        <v>1</v>
      </c>
      <c r="BW213" s="56">
        <v>1</v>
      </c>
      <c r="BX213" s="55">
        <f t="shared" si="14"/>
        <v>42</v>
      </c>
      <c r="BY213" s="58">
        <v>0</v>
      </c>
    </row>
    <row r="214" spans="61:77" x14ac:dyDescent="0.25">
      <c r="BI214" s="55">
        <f t="shared" si="13"/>
        <v>47</v>
      </c>
      <c r="BJ214" s="78">
        <v>42</v>
      </c>
      <c r="BK214" s="64">
        <v>5</v>
      </c>
      <c r="BL214" s="64">
        <v>1.06</v>
      </c>
      <c r="BM214" s="71">
        <v>1.06</v>
      </c>
      <c r="BN214" s="71">
        <v>1.05</v>
      </c>
      <c r="BO214" s="71">
        <v>1.03</v>
      </c>
      <c r="BP214" s="71">
        <v>1.02</v>
      </c>
      <c r="BQ214" s="71">
        <v>1.02</v>
      </c>
      <c r="BR214" s="71">
        <v>1.02</v>
      </c>
      <c r="BS214" s="56">
        <v>1.04</v>
      </c>
      <c r="BT214" s="56">
        <v>1.06</v>
      </c>
      <c r="BU214" s="56">
        <v>1.08</v>
      </c>
      <c r="BV214" s="56">
        <v>1.0900000000000001</v>
      </c>
      <c r="BW214" s="56">
        <v>1.0900000000000001</v>
      </c>
      <c r="BX214" s="55">
        <f t="shared" si="14"/>
        <v>47</v>
      </c>
      <c r="BY214" s="58">
        <v>5</v>
      </c>
    </row>
    <row r="215" spans="61:77" x14ac:dyDescent="0.25">
      <c r="BI215" s="55">
        <f t="shared" si="13"/>
        <v>52</v>
      </c>
      <c r="BJ215" s="78">
        <v>42</v>
      </c>
      <c r="BK215" s="64">
        <v>10</v>
      </c>
      <c r="BL215" s="64">
        <v>1.1499999999999999</v>
      </c>
      <c r="BM215" s="71">
        <v>1.1200000000000001</v>
      </c>
      <c r="BN215" s="71">
        <v>1.0900000000000001</v>
      </c>
      <c r="BO215" s="71">
        <v>1.06</v>
      </c>
      <c r="BP215" s="71">
        <v>1.04</v>
      </c>
      <c r="BQ215" s="71">
        <v>1.03</v>
      </c>
      <c r="BR215" s="71">
        <v>1.04</v>
      </c>
      <c r="BS215" s="56">
        <v>1.06</v>
      </c>
      <c r="BT215" s="56">
        <v>1.1100000000000001</v>
      </c>
      <c r="BU215" s="56">
        <v>1.1499999999999999</v>
      </c>
      <c r="BV215" s="56">
        <v>1.18</v>
      </c>
      <c r="BW215" s="56">
        <v>1.17</v>
      </c>
      <c r="BX215" s="55">
        <f t="shared" si="14"/>
        <v>52</v>
      </c>
      <c r="BY215" s="58">
        <v>10</v>
      </c>
    </row>
    <row r="216" spans="61:77" x14ac:dyDescent="0.25">
      <c r="BI216" s="55">
        <f t="shared" si="13"/>
        <v>57</v>
      </c>
      <c r="BJ216" s="78">
        <v>42</v>
      </c>
      <c r="BK216" s="64">
        <v>15</v>
      </c>
      <c r="BL216" s="64">
        <v>1.21</v>
      </c>
      <c r="BM216" s="71">
        <v>1.17</v>
      </c>
      <c r="BN216" s="71">
        <v>1.1299999999999999</v>
      </c>
      <c r="BO216" s="71">
        <v>1.08</v>
      </c>
      <c r="BP216" s="71">
        <v>1.04</v>
      </c>
      <c r="BQ216" s="71">
        <v>1.03</v>
      </c>
      <c r="BR216" s="71">
        <v>1.04</v>
      </c>
      <c r="BS216" s="56">
        <v>1.0900000000000001</v>
      </c>
      <c r="BT216" s="56">
        <v>1.1499999999999999</v>
      </c>
      <c r="BU216" s="56">
        <v>1.22</v>
      </c>
      <c r="BV216" s="56">
        <v>1.26</v>
      </c>
      <c r="BW216" s="56">
        <v>1.25</v>
      </c>
      <c r="BX216" s="55">
        <f t="shared" si="14"/>
        <v>57</v>
      </c>
      <c r="BY216" s="58">
        <v>15</v>
      </c>
    </row>
    <row r="217" spans="61:77" x14ac:dyDescent="0.25">
      <c r="BI217" s="55">
        <f t="shared" si="13"/>
        <v>62</v>
      </c>
      <c r="BJ217" s="78">
        <v>42</v>
      </c>
      <c r="BK217" s="64">
        <v>20</v>
      </c>
      <c r="BL217" s="64">
        <v>1.27</v>
      </c>
      <c r="BM217" s="71">
        <v>1.21</v>
      </c>
      <c r="BN217" s="71">
        <v>1.1499999999999999</v>
      </c>
      <c r="BO217" s="71">
        <v>1.0900000000000001</v>
      </c>
      <c r="BP217" s="71">
        <v>1.04</v>
      </c>
      <c r="BQ217" s="71">
        <v>1.03</v>
      </c>
      <c r="BR217" s="71">
        <v>1.05</v>
      </c>
      <c r="BS217" s="56">
        <v>1.1000000000000001</v>
      </c>
      <c r="BT217" s="56">
        <v>1.18</v>
      </c>
      <c r="BU217" s="56">
        <v>1.28</v>
      </c>
      <c r="BV217" s="56">
        <v>1.34</v>
      </c>
      <c r="BW217" s="56">
        <v>1.32</v>
      </c>
      <c r="BX217" s="55">
        <f t="shared" si="14"/>
        <v>62</v>
      </c>
      <c r="BY217" s="58">
        <v>20</v>
      </c>
    </row>
    <row r="218" spans="61:77" x14ac:dyDescent="0.25">
      <c r="BI218" s="55">
        <f t="shared" si="13"/>
        <v>67</v>
      </c>
      <c r="BJ218" s="78">
        <v>42</v>
      </c>
      <c r="BK218" s="64">
        <v>25</v>
      </c>
      <c r="BL218" s="64">
        <v>1.32</v>
      </c>
      <c r="BM218" s="71">
        <v>1.25</v>
      </c>
      <c r="BN218" s="71">
        <v>1.17</v>
      </c>
      <c r="BO218" s="71">
        <v>1.0900000000000001</v>
      </c>
      <c r="BP218" s="71">
        <v>1.04</v>
      </c>
      <c r="BQ218" s="71">
        <v>1.01</v>
      </c>
      <c r="BR218" s="71">
        <v>1.04</v>
      </c>
      <c r="BS218" s="56">
        <v>1.1000000000000001</v>
      </c>
      <c r="BT218" s="56">
        <v>1.21</v>
      </c>
      <c r="BU218" s="56">
        <v>1.33</v>
      </c>
      <c r="BV218" s="56">
        <v>1.4</v>
      </c>
      <c r="BW218" s="56">
        <v>1.38</v>
      </c>
      <c r="BX218" s="55">
        <f t="shared" si="14"/>
        <v>67</v>
      </c>
      <c r="BY218" s="58">
        <v>25</v>
      </c>
    </row>
    <row r="219" spans="61:77" x14ac:dyDescent="0.25">
      <c r="BI219" s="55">
        <f t="shared" si="13"/>
        <v>72</v>
      </c>
      <c r="BJ219" s="78">
        <v>42</v>
      </c>
      <c r="BK219" s="64">
        <v>30</v>
      </c>
      <c r="BL219" s="64">
        <v>1.36</v>
      </c>
      <c r="BM219" s="71">
        <v>1.28</v>
      </c>
      <c r="BN219" s="71">
        <v>1.19</v>
      </c>
      <c r="BO219" s="71">
        <v>1.0900000000000001</v>
      </c>
      <c r="BP219" s="71">
        <v>1.02</v>
      </c>
      <c r="BQ219" s="71">
        <v>1</v>
      </c>
      <c r="BR219" s="71">
        <v>1.02</v>
      </c>
      <c r="BS219" s="56">
        <v>1.1000000000000001</v>
      </c>
      <c r="BT219" s="56">
        <v>1.23</v>
      </c>
      <c r="BU219" s="56">
        <v>1.37</v>
      </c>
      <c r="BV219" s="56">
        <v>1.46</v>
      </c>
      <c r="BW219" s="56">
        <v>1.44</v>
      </c>
      <c r="BX219" s="55">
        <f t="shared" si="14"/>
        <v>72</v>
      </c>
      <c r="BY219" s="58">
        <v>30</v>
      </c>
    </row>
    <row r="220" spans="61:77" x14ac:dyDescent="0.25">
      <c r="BI220" s="55">
        <f t="shared" si="13"/>
        <v>77</v>
      </c>
      <c r="BJ220" s="78">
        <v>42</v>
      </c>
      <c r="BK220" s="64">
        <v>35</v>
      </c>
      <c r="BL220" s="64">
        <v>1.39</v>
      </c>
      <c r="BM220" s="71">
        <v>1.3</v>
      </c>
      <c r="BN220" s="71">
        <v>1.19</v>
      </c>
      <c r="BO220" s="71">
        <v>1.08</v>
      </c>
      <c r="BP220" s="71">
        <v>1</v>
      </c>
      <c r="BQ220" s="71">
        <v>0.97</v>
      </c>
      <c r="BR220" s="71">
        <v>1</v>
      </c>
      <c r="BS220" s="56">
        <v>1.0900000000000001</v>
      </c>
      <c r="BT220" s="56">
        <v>1.23</v>
      </c>
      <c r="BU220" s="56">
        <v>1.4</v>
      </c>
      <c r="BV220" s="56">
        <v>1.51</v>
      </c>
      <c r="BW220" s="56">
        <v>1.48</v>
      </c>
      <c r="BX220" s="55">
        <f t="shared" si="14"/>
        <v>77</v>
      </c>
      <c r="BY220" s="58">
        <v>35</v>
      </c>
    </row>
    <row r="221" spans="61:77" x14ac:dyDescent="0.25">
      <c r="BI221" s="55">
        <f t="shared" si="13"/>
        <v>82</v>
      </c>
      <c r="BJ221" s="78">
        <v>42</v>
      </c>
      <c r="BK221" s="64">
        <v>40</v>
      </c>
      <c r="BL221" s="64">
        <v>1.42</v>
      </c>
      <c r="BM221" s="71">
        <v>1.31</v>
      </c>
      <c r="BN221" s="71">
        <v>1.19</v>
      </c>
      <c r="BO221" s="71">
        <v>1.06</v>
      </c>
      <c r="BP221" s="71">
        <v>0.97</v>
      </c>
      <c r="BQ221" s="71">
        <v>0.94</v>
      </c>
      <c r="BR221" s="71">
        <v>0.97</v>
      </c>
      <c r="BS221" s="56">
        <v>1.08</v>
      </c>
      <c r="BT221" s="56">
        <v>1.24</v>
      </c>
      <c r="BU221" s="56">
        <v>1.42</v>
      </c>
      <c r="BV221" s="56">
        <v>1.54</v>
      </c>
      <c r="BW221" s="56">
        <v>1.52</v>
      </c>
      <c r="BX221" s="55">
        <f t="shared" si="14"/>
        <v>82</v>
      </c>
      <c r="BY221" s="58">
        <v>40</v>
      </c>
    </row>
    <row r="222" spans="61:77" x14ac:dyDescent="0.25">
      <c r="BI222" s="55">
        <f t="shared" si="13"/>
        <v>87</v>
      </c>
      <c r="BJ222" s="78">
        <v>42</v>
      </c>
      <c r="BK222" s="64">
        <v>45</v>
      </c>
      <c r="BL222" s="64">
        <v>1.43</v>
      </c>
      <c r="BM222" s="71">
        <v>1.32</v>
      </c>
      <c r="BN222" s="71">
        <v>1.18</v>
      </c>
      <c r="BO222" s="71">
        <v>1.04</v>
      </c>
      <c r="BP222" s="71">
        <v>0.94</v>
      </c>
      <c r="BQ222" s="71">
        <v>0.9</v>
      </c>
      <c r="BR222" s="71">
        <v>0.94</v>
      </c>
      <c r="BS222" s="56">
        <v>1.05</v>
      </c>
      <c r="BT222" s="56">
        <v>1.23</v>
      </c>
      <c r="BU222" s="56">
        <v>1.43</v>
      </c>
      <c r="BV222" s="56">
        <v>1.57</v>
      </c>
      <c r="BW222" s="56">
        <v>1.54</v>
      </c>
      <c r="BX222" s="55">
        <f t="shared" si="14"/>
        <v>87</v>
      </c>
      <c r="BY222" s="58">
        <v>45</v>
      </c>
    </row>
    <row r="223" spans="61:77" x14ac:dyDescent="0.25">
      <c r="BI223" s="55">
        <f t="shared" si="13"/>
        <v>92</v>
      </c>
      <c r="BJ223" s="78">
        <v>42</v>
      </c>
      <c r="BK223" s="64">
        <v>50</v>
      </c>
      <c r="BL223" s="64">
        <v>1.44</v>
      </c>
      <c r="BM223" s="71">
        <v>1.31</v>
      </c>
      <c r="BN223" s="71">
        <v>1.1599999999999999</v>
      </c>
      <c r="BO223" s="71">
        <v>1</v>
      </c>
      <c r="BP223" s="71">
        <v>0.89</v>
      </c>
      <c r="BQ223" s="71">
        <v>0.86</v>
      </c>
      <c r="BR223" s="71">
        <v>0.9</v>
      </c>
      <c r="BS223" s="56">
        <v>1.02</v>
      </c>
      <c r="BT223" s="56">
        <v>1.21</v>
      </c>
      <c r="BU223" s="56">
        <v>1.44</v>
      </c>
      <c r="BV223" s="56">
        <v>1.59</v>
      </c>
      <c r="BW223" s="56">
        <v>1.56</v>
      </c>
      <c r="BX223" s="55">
        <f t="shared" si="14"/>
        <v>92</v>
      </c>
      <c r="BY223" s="58">
        <v>50</v>
      </c>
    </row>
    <row r="224" spans="61:77" x14ac:dyDescent="0.25">
      <c r="BI224" s="55">
        <f t="shared" si="13"/>
        <v>97</v>
      </c>
      <c r="BJ224" s="78">
        <v>42</v>
      </c>
      <c r="BK224" s="64">
        <v>55</v>
      </c>
      <c r="BL224" s="64">
        <v>1.44</v>
      </c>
      <c r="BM224" s="71">
        <v>1.3</v>
      </c>
      <c r="BN224" s="71">
        <v>1.1299999999999999</v>
      </c>
      <c r="BO224" s="71">
        <v>0.97</v>
      </c>
      <c r="BP224" s="71">
        <v>0.85</v>
      </c>
      <c r="BQ224" s="71">
        <v>0.8</v>
      </c>
      <c r="BR224" s="71">
        <v>0.85</v>
      </c>
      <c r="BS224" s="56">
        <v>0.98</v>
      </c>
      <c r="BT224" s="56">
        <v>1.19</v>
      </c>
      <c r="BU224" s="56">
        <v>1.43</v>
      </c>
      <c r="BV224" s="56">
        <v>1.59</v>
      </c>
      <c r="BW224" s="56">
        <v>1.57</v>
      </c>
      <c r="BX224" s="55">
        <f t="shared" si="14"/>
        <v>97</v>
      </c>
      <c r="BY224" s="58">
        <v>55</v>
      </c>
    </row>
    <row r="225" spans="61:77" x14ac:dyDescent="0.25">
      <c r="BI225" s="55">
        <f t="shared" si="13"/>
        <v>102</v>
      </c>
      <c r="BJ225" s="78">
        <v>42</v>
      </c>
      <c r="BK225" s="64">
        <v>60</v>
      </c>
      <c r="BL225" s="64">
        <v>1.43</v>
      </c>
      <c r="BM225" s="71">
        <v>1.28</v>
      </c>
      <c r="BN225" s="71">
        <v>1.1000000000000001</v>
      </c>
      <c r="BO225" s="71">
        <v>0.92</v>
      </c>
      <c r="BP225" s="71">
        <v>0.79</v>
      </c>
      <c r="BQ225" s="71">
        <v>0.75</v>
      </c>
      <c r="BR225" s="71">
        <v>0.8</v>
      </c>
      <c r="BS225" s="56">
        <v>0.93</v>
      </c>
      <c r="BT225" s="56">
        <v>1.1499999999999999</v>
      </c>
      <c r="BU225" s="56">
        <v>1.41</v>
      </c>
      <c r="BV225" s="56">
        <v>1.59</v>
      </c>
      <c r="BW225" s="56">
        <v>1.57</v>
      </c>
      <c r="BX225" s="55">
        <f t="shared" si="14"/>
        <v>102</v>
      </c>
      <c r="BY225" s="58">
        <v>60</v>
      </c>
    </row>
    <row r="226" spans="61:77" x14ac:dyDescent="0.25">
      <c r="BI226" s="55">
        <f t="shared" si="13"/>
        <v>107</v>
      </c>
      <c r="BJ226" s="78">
        <v>42</v>
      </c>
      <c r="BK226" s="64">
        <v>65</v>
      </c>
      <c r="BL226" s="64">
        <v>1.41</v>
      </c>
      <c r="BM226" s="71">
        <v>1.25</v>
      </c>
      <c r="BN226" s="71">
        <v>1.06</v>
      </c>
      <c r="BO226" s="71">
        <v>0.87</v>
      </c>
      <c r="BP226" s="71">
        <v>0.74</v>
      </c>
      <c r="BQ226" s="71">
        <v>0.69</v>
      </c>
      <c r="BR226" s="71">
        <v>0.74</v>
      </c>
      <c r="BS226" s="56">
        <v>0.88</v>
      </c>
      <c r="BT226" s="56">
        <v>1.1100000000000001</v>
      </c>
      <c r="BU226" s="56">
        <v>1.39</v>
      </c>
      <c r="BV226" s="56">
        <v>1.57</v>
      </c>
      <c r="BW226" s="56">
        <v>1.55</v>
      </c>
      <c r="BX226" s="55">
        <f t="shared" si="14"/>
        <v>107</v>
      </c>
      <c r="BY226" s="58">
        <v>65</v>
      </c>
    </row>
    <row r="227" spans="61:77" x14ac:dyDescent="0.25">
      <c r="BI227" s="55">
        <f t="shared" si="13"/>
        <v>112</v>
      </c>
      <c r="BJ227" s="78">
        <v>42</v>
      </c>
      <c r="BK227" s="64">
        <v>70</v>
      </c>
      <c r="BL227" s="64">
        <v>1.38</v>
      </c>
      <c r="BM227" s="71">
        <v>1.21</v>
      </c>
      <c r="BN227" s="71">
        <v>1.01</v>
      </c>
      <c r="BO227" s="71">
        <v>0.81</v>
      </c>
      <c r="BP227" s="71">
        <v>0.67</v>
      </c>
      <c r="BQ227" s="71">
        <v>0.62</v>
      </c>
      <c r="BR227" s="71">
        <v>0.67</v>
      </c>
      <c r="BS227" s="56">
        <v>0.82</v>
      </c>
      <c r="BT227" s="56">
        <v>1.07</v>
      </c>
      <c r="BU227" s="56">
        <v>1.35</v>
      </c>
      <c r="BV227" s="56">
        <v>1.55</v>
      </c>
      <c r="BW227" s="56">
        <v>1.53</v>
      </c>
      <c r="BX227" s="55">
        <f t="shared" si="14"/>
        <v>112</v>
      </c>
      <c r="BY227" s="58">
        <v>70</v>
      </c>
    </row>
    <row r="228" spans="61:77" x14ac:dyDescent="0.25">
      <c r="BI228" s="55">
        <f t="shared" si="13"/>
        <v>117</v>
      </c>
      <c r="BJ228" s="78">
        <v>42</v>
      </c>
      <c r="BK228" s="64">
        <v>75</v>
      </c>
      <c r="BL228" s="64">
        <v>1.35</v>
      </c>
      <c r="BM228" s="71">
        <v>1.17</v>
      </c>
      <c r="BN228" s="71">
        <v>0.96</v>
      </c>
      <c r="BO228" s="71">
        <v>0.75</v>
      </c>
      <c r="BP228" s="71">
        <v>0.6</v>
      </c>
      <c r="BQ228" s="71">
        <v>0.55000000000000004</v>
      </c>
      <c r="BR228" s="71">
        <v>0.6</v>
      </c>
      <c r="BS228" s="56">
        <v>0.76</v>
      </c>
      <c r="BT228" s="56">
        <v>1.01</v>
      </c>
      <c r="BU228" s="56">
        <v>1.31</v>
      </c>
      <c r="BV228" s="56">
        <v>1.52</v>
      </c>
      <c r="BW228" s="56">
        <v>1.5</v>
      </c>
      <c r="BX228" s="55">
        <f t="shared" si="14"/>
        <v>117</v>
      </c>
      <c r="BY228" s="58">
        <v>75</v>
      </c>
    </row>
    <row r="229" spans="61:77" x14ac:dyDescent="0.25">
      <c r="BI229" s="55">
        <f t="shared" si="13"/>
        <v>122</v>
      </c>
      <c r="BJ229" s="78">
        <v>42</v>
      </c>
      <c r="BK229" s="64">
        <v>80</v>
      </c>
      <c r="BL229" s="64">
        <v>1.3</v>
      </c>
      <c r="BM229" s="71">
        <v>1.1200000000000001</v>
      </c>
      <c r="BN229" s="71">
        <v>0.9</v>
      </c>
      <c r="BO229" s="71">
        <v>0.68</v>
      </c>
      <c r="BP229" s="71">
        <v>0.53</v>
      </c>
      <c r="BQ229" s="71">
        <v>0.48</v>
      </c>
      <c r="BR229" s="71">
        <v>0.53</v>
      </c>
      <c r="BS229" s="56">
        <v>0.69</v>
      </c>
      <c r="BT229" s="56">
        <v>0.95</v>
      </c>
      <c r="BU229" s="56">
        <v>1.25</v>
      </c>
      <c r="BV229" s="56">
        <v>1.47</v>
      </c>
      <c r="BW229" s="56">
        <v>1.46</v>
      </c>
      <c r="BX229" s="55">
        <f t="shared" si="14"/>
        <v>122</v>
      </c>
      <c r="BY229" s="58">
        <v>80</v>
      </c>
    </row>
    <row r="230" spans="61:77" x14ac:dyDescent="0.25">
      <c r="BI230" s="55">
        <f t="shared" si="13"/>
        <v>127</v>
      </c>
      <c r="BJ230" s="78">
        <v>42</v>
      </c>
      <c r="BK230" s="64">
        <v>85</v>
      </c>
      <c r="BL230" s="64">
        <v>1.25</v>
      </c>
      <c r="BM230" s="71">
        <v>1.06</v>
      </c>
      <c r="BN230" s="71">
        <v>0.83</v>
      </c>
      <c r="BO230" s="71">
        <v>0.61</v>
      </c>
      <c r="BP230" s="71">
        <v>0.46</v>
      </c>
      <c r="BQ230" s="71">
        <v>0.4</v>
      </c>
      <c r="BR230" s="71">
        <v>0.46</v>
      </c>
      <c r="BS230" s="56">
        <v>0.62</v>
      </c>
      <c r="BT230" s="56">
        <v>0.88</v>
      </c>
      <c r="BU230" s="56">
        <v>1.19</v>
      </c>
      <c r="BV230" s="56">
        <v>1.42</v>
      </c>
      <c r="BW230" s="56">
        <v>1.41</v>
      </c>
      <c r="BX230" s="55">
        <f t="shared" si="14"/>
        <v>127</v>
      </c>
      <c r="BY230" s="58">
        <v>85</v>
      </c>
    </row>
    <row r="231" spans="61:77" x14ac:dyDescent="0.25">
      <c r="BI231" s="55">
        <f t="shared" si="13"/>
        <v>132</v>
      </c>
      <c r="BJ231" s="78">
        <v>42</v>
      </c>
      <c r="BK231" s="64">
        <v>90</v>
      </c>
      <c r="BL231" s="64">
        <v>1.19</v>
      </c>
      <c r="BM231" s="71">
        <v>1</v>
      </c>
      <c r="BN231" s="71">
        <v>0.76</v>
      </c>
      <c r="BO231" s="71">
        <v>0.54</v>
      </c>
      <c r="BP231" s="71">
        <v>0.38</v>
      </c>
      <c r="BQ231" s="71">
        <v>0.32</v>
      </c>
      <c r="BR231" s="71">
        <v>0.38</v>
      </c>
      <c r="BS231" s="56">
        <v>0.54</v>
      </c>
      <c r="BT231" s="56">
        <v>0.81</v>
      </c>
      <c r="BU231" s="56">
        <v>1.1200000000000001</v>
      </c>
      <c r="BV231" s="56">
        <v>1.36</v>
      </c>
      <c r="BW231" s="56">
        <v>1.35</v>
      </c>
      <c r="BX231" s="55">
        <f t="shared" si="14"/>
        <v>132</v>
      </c>
      <c r="BY231" s="58">
        <v>90</v>
      </c>
    </row>
    <row r="232" spans="61:77" x14ac:dyDescent="0.25">
      <c r="BI232" s="55">
        <f t="shared" si="13"/>
        <v>43</v>
      </c>
      <c r="BJ232" s="78">
        <v>43</v>
      </c>
      <c r="BK232" s="64">
        <v>0</v>
      </c>
      <c r="BL232" s="56">
        <v>1</v>
      </c>
      <c r="BM232" s="57">
        <v>1</v>
      </c>
      <c r="BN232" s="57">
        <v>1</v>
      </c>
      <c r="BO232" s="57">
        <v>1</v>
      </c>
      <c r="BP232" s="57">
        <v>1</v>
      </c>
      <c r="BQ232" s="57">
        <v>1</v>
      </c>
      <c r="BR232" s="57">
        <v>1</v>
      </c>
      <c r="BS232" s="57">
        <v>1</v>
      </c>
      <c r="BT232" s="56">
        <v>1</v>
      </c>
      <c r="BU232" s="56">
        <v>1</v>
      </c>
      <c r="BV232" s="56">
        <v>1</v>
      </c>
      <c r="BW232" s="56">
        <v>1</v>
      </c>
      <c r="BX232" s="55">
        <f t="shared" si="14"/>
        <v>43</v>
      </c>
      <c r="BY232" s="58">
        <v>0</v>
      </c>
    </row>
    <row r="233" spans="61:77" x14ac:dyDescent="0.25">
      <c r="BI233" s="55">
        <f t="shared" si="13"/>
        <v>48</v>
      </c>
      <c r="BJ233" s="78">
        <v>43</v>
      </c>
      <c r="BK233" s="64">
        <v>5</v>
      </c>
      <c r="BL233" s="64">
        <v>1.06</v>
      </c>
      <c r="BM233" s="71">
        <v>1.07</v>
      </c>
      <c r="BN233" s="71">
        <v>1.05</v>
      </c>
      <c r="BO233" s="71">
        <v>1.03</v>
      </c>
      <c r="BP233" s="71">
        <v>1.02</v>
      </c>
      <c r="BQ233" s="71">
        <v>1.02</v>
      </c>
      <c r="BR233" s="71">
        <v>1.02</v>
      </c>
      <c r="BS233" s="71">
        <v>1.04</v>
      </c>
      <c r="BT233" s="56">
        <v>1.06</v>
      </c>
      <c r="BU233" s="56">
        <v>1.08</v>
      </c>
      <c r="BV233" s="56">
        <v>1.1000000000000001</v>
      </c>
      <c r="BW233" s="56">
        <v>1.0900000000000001</v>
      </c>
      <c r="BX233" s="55">
        <f t="shared" si="14"/>
        <v>48</v>
      </c>
      <c r="BY233" s="58">
        <v>5</v>
      </c>
    </row>
    <row r="234" spans="61:77" x14ac:dyDescent="0.25">
      <c r="BI234" s="55">
        <f t="shared" si="13"/>
        <v>53</v>
      </c>
      <c r="BJ234" s="78">
        <v>43</v>
      </c>
      <c r="BK234" s="64">
        <v>10</v>
      </c>
      <c r="BL234" s="64">
        <v>1.1499999999999999</v>
      </c>
      <c r="BM234" s="71">
        <v>1.1200000000000001</v>
      </c>
      <c r="BN234" s="71">
        <v>1.0900000000000001</v>
      </c>
      <c r="BO234" s="71">
        <v>1.06</v>
      </c>
      <c r="BP234" s="71">
        <v>1.04</v>
      </c>
      <c r="BQ234" s="71">
        <v>1.03</v>
      </c>
      <c r="BR234" s="71">
        <v>1.04</v>
      </c>
      <c r="BS234" s="71">
        <v>1.07</v>
      </c>
      <c r="BT234" s="56">
        <v>1.1100000000000001</v>
      </c>
      <c r="BU234" s="56">
        <v>1.1599999999999999</v>
      </c>
      <c r="BV234" s="56">
        <v>1.19</v>
      </c>
      <c r="BW234" s="56">
        <v>1.18</v>
      </c>
      <c r="BX234" s="55">
        <f t="shared" si="14"/>
        <v>53</v>
      </c>
      <c r="BY234" s="58">
        <v>10</v>
      </c>
    </row>
    <row r="235" spans="61:77" x14ac:dyDescent="0.25">
      <c r="BI235" s="55">
        <f t="shared" si="13"/>
        <v>58</v>
      </c>
      <c r="BJ235" s="78">
        <v>43</v>
      </c>
      <c r="BK235" s="64">
        <v>15</v>
      </c>
      <c r="BL235" s="64">
        <v>1.22</v>
      </c>
      <c r="BM235" s="71">
        <v>1.18</v>
      </c>
      <c r="BN235" s="71">
        <v>1.1299999999999999</v>
      </c>
      <c r="BO235" s="71">
        <v>1.08</v>
      </c>
      <c r="BP235" s="71">
        <v>1.05</v>
      </c>
      <c r="BQ235" s="71">
        <v>1.03</v>
      </c>
      <c r="BR235" s="71">
        <v>1.05</v>
      </c>
      <c r="BS235" s="71">
        <v>1.0900000000000001</v>
      </c>
      <c r="BT235" s="56">
        <v>1.1499999999999999</v>
      </c>
      <c r="BU235" s="56">
        <v>1.23</v>
      </c>
      <c r="BV235" s="56">
        <v>1.27</v>
      </c>
      <c r="BW235" s="56">
        <v>1.26</v>
      </c>
      <c r="BX235" s="55">
        <f t="shared" si="14"/>
        <v>58</v>
      </c>
      <c r="BY235" s="58">
        <v>15</v>
      </c>
    </row>
    <row r="236" spans="61:77" x14ac:dyDescent="0.25">
      <c r="BI236" s="55">
        <f t="shared" si="13"/>
        <v>63</v>
      </c>
      <c r="BJ236" s="78">
        <v>43</v>
      </c>
      <c r="BK236" s="64">
        <v>20</v>
      </c>
      <c r="BL236" s="64">
        <v>1.28</v>
      </c>
      <c r="BM236" s="71">
        <v>1.22</v>
      </c>
      <c r="BN236" s="71">
        <v>1.1599999999999999</v>
      </c>
      <c r="BO236" s="71">
        <v>1.0900000000000001</v>
      </c>
      <c r="BP236" s="71">
        <v>1.05</v>
      </c>
      <c r="BQ236" s="71">
        <v>1.03</v>
      </c>
      <c r="BR236" s="71">
        <v>1.05</v>
      </c>
      <c r="BS236" s="71">
        <v>1.1000000000000001</v>
      </c>
      <c r="BT236" s="56">
        <v>1.19</v>
      </c>
      <c r="BU236" s="56">
        <v>1.29</v>
      </c>
      <c r="BV236" s="56">
        <v>1.35</v>
      </c>
      <c r="BW236" s="56">
        <v>1.33</v>
      </c>
      <c r="BX236" s="55">
        <f t="shared" si="14"/>
        <v>63</v>
      </c>
      <c r="BY236" s="58">
        <v>20</v>
      </c>
    </row>
    <row r="237" spans="61:77" x14ac:dyDescent="0.25">
      <c r="BI237" s="55">
        <f t="shared" si="13"/>
        <v>68</v>
      </c>
      <c r="BJ237" s="78">
        <v>43</v>
      </c>
      <c r="BK237" s="64">
        <v>25</v>
      </c>
      <c r="BL237" s="64">
        <v>1.33</v>
      </c>
      <c r="BM237" s="71">
        <v>1.26</v>
      </c>
      <c r="BN237" s="71">
        <v>1.18</v>
      </c>
      <c r="BO237" s="71">
        <v>1.1000000000000001</v>
      </c>
      <c r="BP237" s="71">
        <v>1.04</v>
      </c>
      <c r="BQ237" s="71">
        <v>1.02</v>
      </c>
      <c r="BR237" s="71">
        <v>1.04</v>
      </c>
      <c r="BS237" s="71">
        <v>1.1100000000000001</v>
      </c>
      <c r="BT237" s="56">
        <v>1.22</v>
      </c>
      <c r="BU237" s="56">
        <v>1.34</v>
      </c>
      <c r="BV237" s="56">
        <v>1.42</v>
      </c>
      <c r="BW237" s="56">
        <v>1.4</v>
      </c>
      <c r="BX237" s="55">
        <f t="shared" si="14"/>
        <v>68</v>
      </c>
      <c r="BY237" s="58">
        <v>25</v>
      </c>
    </row>
    <row r="238" spans="61:77" x14ac:dyDescent="0.25">
      <c r="BI238" s="55">
        <f t="shared" si="13"/>
        <v>73</v>
      </c>
      <c r="BJ238" s="78">
        <v>43</v>
      </c>
      <c r="BK238" s="64">
        <v>30</v>
      </c>
      <c r="BL238" s="64">
        <v>1.37</v>
      </c>
      <c r="BM238" s="71">
        <v>1.29</v>
      </c>
      <c r="BN238" s="71">
        <v>1.2</v>
      </c>
      <c r="BO238" s="71">
        <v>1.1000000000000001</v>
      </c>
      <c r="BP238" s="71">
        <v>1.03</v>
      </c>
      <c r="BQ238" s="71">
        <v>1</v>
      </c>
      <c r="BR238" s="71">
        <v>1.03</v>
      </c>
      <c r="BS238" s="71">
        <v>1.1100000000000001</v>
      </c>
      <c r="BT238" s="56">
        <v>1.24</v>
      </c>
      <c r="BU238" s="56">
        <v>1.38</v>
      </c>
      <c r="BV238" s="56">
        <v>1.48</v>
      </c>
      <c r="BW238" s="56">
        <v>1.45</v>
      </c>
      <c r="BX238" s="55">
        <f t="shared" si="14"/>
        <v>73</v>
      </c>
      <c r="BY238" s="58">
        <v>30</v>
      </c>
    </row>
    <row r="239" spans="61:77" x14ac:dyDescent="0.25">
      <c r="BI239" s="55">
        <f t="shared" si="13"/>
        <v>78</v>
      </c>
      <c r="BJ239" s="78">
        <v>43</v>
      </c>
      <c r="BK239" s="64">
        <v>35</v>
      </c>
      <c r="BL239" s="64">
        <v>1.41</v>
      </c>
      <c r="BM239" s="71">
        <v>1.31</v>
      </c>
      <c r="BN239" s="71">
        <v>1.2</v>
      </c>
      <c r="BO239" s="71">
        <v>1.0900000000000001</v>
      </c>
      <c r="BP239" s="71">
        <v>1.01</v>
      </c>
      <c r="BQ239" s="71">
        <v>0.98</v>
      </c>
      <c r="BR239" s="71">
        <v>1.01</v>
      </c>
      <c r="BS239" s="71">
        <v>1.1000000000000001</v>
      </c>
      <c r="BT239" s="56">
        <v>1.25</v>
      </c>
      <c r="BU239" s="56">
        <v>1.42</v>
      </c>
      <c r="BV239" s="56">
        <v>1.52</v>
      </c>
      <c r="BW239" s="56">
        <v>1.5</v>
      </c>
      <c r="BX239" s="55">
        <f t="shared" si="14"/>
        <v>78</v>
      </c>
      <c r="BY239" s="58">
        <v>35</v>
      </c>
    </row>
    <row r="240" spans="61:77" x14ac:dyDescent="0.25">
      <c r="BI240" s="55">
        <f t="shared" si="13"/>
        <v>83</v>
      </c>
      <c r="BJ240" s="78">
        <v>43</v>
      </c>
      <c r="BK240" s="64">
        <v>40</v>
      </c>
      <c r="BL240" s="64">
        <v>1.43</v>
      </c>
      <c r="BM240" s="71">
        <v>1.33</v>
      </c>
      <c r="BN240" s="71">
        <v>1.2</v>
      </c>
      <c r="BO240" s="71">
        <v>1.07</v>
      </c>
      <c r="BP240" s="71">
        <v>0.98</v>
      </c>
      <c r="BQ240" s="71">
        <v>0.95</v>
      </c>
      <c r="BR240" s="71">
        <v>0.98</v>
      </c>
      <c r="BS240" s="71">
        <v>1.0900000000000001</v>
      </c>
      <c r="BT240" s="56">
        <v>1.25</v>
      </c>
      <c r="BU240" s="56">
        <v>1.44</v>
      </c>
      <c r="BV240" s="56">
        <v>1.56</v>
      </c>
      <c r="BW240" s="56">
        <v>1.54</v>
      </c>
      <c r="BX240" s="55">
        <f t="shared" si="14"/>
        <v>83</v>
      </c>
      <c r="BY240" s="58">
        <v>40</v>
      </c>
    </row>
    <row r="241" spans="61:77" x14ac:dyDescent="0.25">
      <c r="BI241" s="55">
        <f t="shared" si="13"/>
        <v>88</v>
      </c>
      <c r="BJ241" s="78">
        <v>43</v>
      </c>
      <c r="BK241" s="64">
        <v>45</v>
      </c>
      <c r="BL241" s="64">
        <v>1.45</v>
      </c>
      <c r="BM241" s="71">
        <v>1.33</v>
      </c>
      <c r="BN241" s="71">
        <v>1.19</v>
      </c>
      <c r="BO241" s="71">
        <v>1.05</v>
      </c>
      <c r="BP241" s="71">
        <v>0.95</v>
      </c>
      <c r="BQ241" s="71">
        <v>0.91</v>
      </c>
      <c r="BR241" s="71">
        <v>0.95</v>
      </c>
      <c r="BS241" s="71">
        <v>1.06</v>
      </c>
      <c r="BT241" s="56">
        <v>1.24</v>
      </c>
      <c r="BU241" s="56">
        <v>1.45</v>
      </c>
      <c r="BV241" s="56">
        <v>1.59</v>
      </c>
      <c r="BW241" s="56">
        <v>1.57</v>
      </c>
      <c r="BX241" s="55">
        <f t="shared" si="14"/>
        <v>88</v>
      </c>
      <c r="BY241" s="58">
        <v>45</v>
      </c>
    </row>
    <row r="242" spans="61:77" x14ac:dyDescent="0.25">
      <c r="BI242" s="55">
        <f t="shared" si="13"/>
        <v>93</v>
      </c>
      <c r="BJ242" s="78">
        <v>43</v>
      </c>
      <c r="BK242" s="64">
        <v>50</v>
      </c>
      <c r="BL242" s="64">
        <v>1.46</v>
      </c>
      <c r="BM242" s="71">
        <v>1.33</v>
      </c>
      <c r="BN242" s="71">
        <v>1.17</v>
      </c>
      <c r="BO242" s="71">
        <v>1.02</v>
      </c>
      <c r="BP242" s="71">
        <v>0.91</v>
      </c>
      <c r="BQ242" s="71">
        <v>0.87</v>
      </c>
      <c r="BR242" s="71">
        <v>0.91</v>
      </c>
      <c r="BS242" s="71">
        <v>1.03</v>
      </c>
      <c r="BT242" s="56">
        <v>1.23</v>
      </c>
      <c r="BU242" s="56">
        <v>1.46</v>
      </c>
      <c r="BV242" s="56">
        <v>1.61</v>
      </c>
      <c r="BW242" s="56">
        <v>1.58</v>
      </c>
      <c r="BX242" s="55">
        <f t="shared" si="14"/>
        <v>93</v>
      </c>
      <c r="BY242" s="58">
        <v>50</v>
      </c>
    </row>
    <row r="243" spans="61:77" x14ac:dyDescent="0.25">
      <c r="BI243" s="55">
        <f t="shared" si="13"/>
        <v>98</v>
      </c>
      <c r="BJ243" s="78">
        <v>43</v>
      </c>
      <c r="BK243" s="64">
        <v>55</v>
      </c>
      <c r="BL243" s="64">
        <v>1.46</v>
      </c>
      <c r="BM243" s="71">
        <v>1.32</v>
      </c>
      <c r="BN243" s="71">
        <v>1.1499999999999999</v>
      </c>
      <c r="BO243" s="71">
        <v>0.98</v>
      </c>
      <c r="BP243" s="71">
        <v>0.86</v>
      </c>
      <c r="BQ243" s="71">
        <v>0.82</v>
      </c>
      <c r="BR243" s="71">
        <v>0.86</v>
      </c>
      <c r="BS243" s="71">
        <v>1</v>
      </c>
      <c r="BT243" s="56">
        <v>1.21</v>
      </c>
      <c r="BU243" s="56">
        <v>1.45</v>
      </c>
      <c r="BV243" s="56">
        <v>1.62</v>
      </c>
      <c r="BW243" s="56">
        <v>1.59</v>
      </c>
      <c r="BX243" s="55">
        <f t="shared" si="14"/>
        <v>98</v>
      </c>
      <c r="BY243" s="58">
        <v>55</v>
      </c>
    </row>
    <row r="244" spans="61:77" x14ac:dyDescent="0.25">
      <c r="BI244" s="55">
        <f t="shared" si="13"/>
        <v>103</v>
      </c>
      <c r="BJ244" s="78">
        <v>43</v>
      </c>
      <c r="BK244" s="64">
        <v>60</v>
      </c>
      <c r="BL244" s="64">
        <v>1.45</v>
      </c>
      <c r="BM244" s="71">
        <v>1.3</v>
      </c>
      <c r="BN244" s="71">
        <v>1.1200000000000001</v>
      </c>
      <c r="BO244" s="71">
        <v>0.94</v>
      </c>
      <c r="BP244" s="71">
        <v>0.81</v>
      </c>
      <c r="BQ244" s="71">
        <v>0.76</v>
      </c>
      <c r="BR244" s="71">
        <v>0.81</v>
      </c>
      <c r="BS244" s="71">
        <v>0.95</v>
      </c>
      <c r="BT244" s="56">
        <v>1.17</v>
      </c>
      <c r="BU244" s="56">
        <v>1.44</v>
      </c>
      <c r="BV244" s="56">
        <v>1.62</v>
      </c>
      <c r="BW244" s="56">
        <v>1.59</v>
      </c>
      <c r="BX244" s="55">
        <f t="shared" si="14"/>
        <v>103</v>
      </c>
      <c r="BY244" s="58">
        <v>60</v>
      </c>
    </row>
    <row r="245" spans="61:77" x14ac:dyDescent="0.25">
      <c r="BI245" s="55">
        <f t="shared" si="13"/>
        <v>108</v>
      </c>
      <c r="BJ245" s="78">
        <v>43</v>
      </c>
      <c r="BK245" s="64">
        <v>65</v>
      </c>
      <c r="BL245" s="64">
        <v>1.43</v>
      </c>
      <c r="BM245" s="71">
        <v>1.27</v>
      </c>
      <c r="BN245" s="71">
        <v>1.08</v>
      </c>
      <c r="BO245" s="71">
        <v>0.89</v>
      </c>
      <c r="BP245" s="71">
        <v>0.75</v>
      </c>
      <c r="BQ245" s="71">
        <v>0.7</v>
      </c>
      <c r="BR245" s="71">
        <v>0.75</v>
      </c>
      <c r="BS245" s="71">
        <v>0.9</v>
      </c>
      <c r="BT245" s="56">
        <v>1.1299999999999999</v>
      </c>
      <c r="BU245" s="56">
        <v>1.41</v>
      </c>
      <c r="BV245" s="56">
        <v>1.61</v>
      </c>
      <c r="BW245" s="56">
        <v>1.58</v>
      </c>
      <c r="BX245" s="55">
        <f t="shared" si="14"/>
        <v>108</v>
      </c>
      <c r="BY245" s="58">
        <v>65</v>
      </c>
    </row>
    <row r="246" spans="61:77" x14ac:dyDescent="0.25">
      <c r="BI246" s="55">
        <f t="shared" si="13"/>
        <v>113</v>
      </c>
      <c r="BJ246" s="78">
        <v>43</v>
      </c>
      <c r="BK246" s="64">
        <v>70</v>
      </c>
      <c r="BL246" s="64">
        <v>1.41</v>
      </c>
      <c r="BM246" s="71">
        <v>1.23</v>
      </c>
      <c r="BN246" s="71">
        <v>1.03</v>
      </c>
      <c r="BO246" s="71">
        <v>0.83</v>
      </c>
      <c r="BP246" s="71">
        <v>0.69</v>
      </c>
      <c r="BQ246" s="71">
        <v>0.64</v>
      </c>
      <c r="BR246" s="71">
        <v>0.69</v>
      </c>
      <c r="BS246" s="71">
        <v>0.84</v>
      </c>
      <c r="BT246" s="56">
        <v>1.0900000000000001</v>
      </c>
      <c r="BU246" s="56">
        <v>1.38</v>
      </c>
      <c r="BV246" s="56">
        <v>1.58</v>
      </c>
      <c r="BW246" s="56">
        <v>1.56</v>
      </c>
      <c r="BX246" s="55">
        <f t="shared" si="14"/>
        <v>113</v>
      </c>
      <c r="BY246" s="58">
        <v>70</v>
      </c>
    </row>
    <row r="247" spans="61:77" x14ac:dyDescent="0.25">
      <c r="BI247" s="55">
        <f t="shared" si="13"/>
        <v>118</v>
      </c>
      <c r="BJ247" s="78">
        <v>43</v>
      </c>
      <c r="BK247" s="64">
        <v>75</v>
      </c>
      <c r="BL247" s="64">
        <v>1.37</v>
      </c>
      <c r="BM247" s="71">
        <v>1.19</v>
      </c>
      <c r="BN247" s="71">
        <v>0.98</v>
      </c>
      <c r="BO247" s="71">
        <v>0.77</v>
      </c>
      <c r="BP247" s="71">
        <v>0.62</v>
      </c>
      <c r="BQ247" s="71">
        <v>0.56999999999999995</v>
      </c>
      <c r="BR247" s="71">
        <v>0.62</v>
      </c>
      <c r="BS247" s="71">
        <v>0.78</v>
      </c>
      <c r="BT247" s="56">
        <v>1.03</v>
      </c>
      <c r="BU247" s="56">
        <v>1.34</v>
      </c>
      <c r="BV247" s="56">
        <v>1.55</v>
      </c>
      <c r="BW247" s="56">
        <v>1.53</v>
      </c>
      <c r="BX247" s="55">
        <f t="shared" si="14"/>
        <v>118</v>
      </c>
      <c r="BY247" s="58">
        <v>75</v>
      </c>
    </row>
    <row r="248" spans="61:77" x14ac:dyDescent="0.25">
      <c r="BI248" s="55">
        <f t="shared" si="13"/>
        <v>123</v>
      </c>
      <c r="BJ248" s="78">
        <v>43</v>
      </c>
      <c r="BK248" s="64">
        <v>80</v>
      </c>
      <c r="BL248" s="64">
        <v>1.33</v>
      </c>
      <c r="BM248" s="71">
        <v>1.1399999999999999</v>
      </c>
      <c r="BN248" s="71">
        <v>0.92</v>
      </c>
      <c r="BO248" s="71">
        <v>0.7</v>
      </c>
      <c r="BP248" s="71">
        <v>0.55000000000000004</v>
      </c>
      <c r="BQ248" s="71">
        <v>0.49</v>
      </c>
      <c r="BR248" s="71">
        <v>0.55000000000000004</v>
      </c>
      <c r="BS248" s="71">
        <v>0.71</v>
      </c>
      <c r="BT248" s="56">
        <v>0.97</v>
      </c>
      <c r="BU248" s="56">
        <v>1.28</v>
      </c>
      <c r="BV248" s="56">
        <v>1.51</v>
      </c>
      <c r="BW248" s="56">
        <v>1.49</v>
      </c>
      <c r="BX248" s="55">
        <f t="shared" si="14"/>
        <v>123</v>
      </c>
      <c r="BY248" s="58">
        <v>80</v>
      </c>
    </row>
    <row r="249" spans="61:77" x14ac:dyDescent="0.25">
      <c r="BI249" s="55">
        <f t="shared" si="13"/>
        <v>128</v>
      </c>
      <c r="BJ249" s="78">
        <v>43</v>
      </c>
      <c r="BK249" s="64">
        <v>85</v>
      </c>
      <c r="BL249" s="64">
        <v>1.28</v>
      </c>
      <c r="BM249" s="71">
        <v>1.08</v>
      </c>
      <c r="BN249" s="71">
        <v>0.85</v>
      </c>
      <c r="BO249" s="71">
        <v>0.63</v>
      </c>
      <c r="BP249" s="71">
        <v>0.47</v>
      </c>
      <c r="BQ249" s="71">
        <v>0.42</v>
      </c>
      <c r="BR249" s="71">
        <v>0.47</v>
      </c>
      <c r="BS249" s="71">
        <v>0.64</v>
      </c>
      <c r="BT249" s="56">
        <v>0.9</v>
      </c>
      <c r="BU249" s="56">
        <v>1.22</v>
      </c>
      <c r="BV249" s="56">
        <v>1.45</v>
      </c>
      <c r="BW249" s="56">
        <v>1.44</v>
      </c>
      <c r="BX249" s="55">
        <f t="shared" si="14"/>
        <v>128</v>
      </c>
      <c r="BY249" s="58">
        <v>85</v>
      </c>
    </row>
    <row r="250" spans="61:77" x14ac:dyDescent="0.25">
      <c r="BI250" s="55">
        <f>BJ250+BK250</f>
        <v>133</v>
      </c>
      <c r="BJ250" s="78">
        <v>43</v>
      </c>
      <c r="BK250" s="64">
        <v>90</v>
      </c>
      <c r="BL250" s="64">
        <v>1.22</v>
      </c>
      <c r="BM250" s="71">
        <v>1.02</v>
      </c>
      <c r="BN250" s="71">
        <v>0.78</v>
      </c>
      <c r="BO250" s="71">
        <v>0.56000000000000005</v>
      </c>
      <c r="BP250" s="71">
        <v>0.4</v>
      </c>
      <c r="BQ250" s="71">
        <v>0.34</v>
      </c>
      <c r="BR250" s="71">
        <v>0.39</v>
      </c>
      <c r="BS250" s="71">
        <v>0.56000000000000005</v>
      </c>
      <c r="BT250" s="56">
        <v>0.83</v>
      </c>
      <c r="BU250" s="56">
        <v>1.1599999999999999</v>
      </c>
      <c r="BV250" s="56">
        <v>1.39</v>
      </c>
      <c r="BW250" s="56">
        <v>1.38</v>
      </c>
      <c r="BX250" s="55">
        <f t="shared" si="14"/>
        <v>133</v>
      </c>
      <c r="BY250" s="58">
        <v>90</v>
      </c>
    </row>
    <row r="265" spans="61:77" x14ac:dyDescent="0.25">
      <c r="BI265" s="108"/>
      <c r="BK265" s="109"/>
      <c r="BL265" s="109"/>
      <c r="BM265" s="109"/>
      <c r="BN265" s="109"/>
      <c r="BO265" s="109"/>
      <c r="BP265" s="109"/>
      <c r="BQ265" s="109"/>
      <c r="BR265" s="109"/>
      <c r="BS265" s="109"/>
      <c r="BT265" s="109"/>
      <c r="BU265" s="109"/>
      <c r="BV265" s="109"/>
      <c r="BW265" s="109"/>
      <c r="BX265" s="108"/>
      <c r="BY265" s="110"/>
    </row>
    <row r="266" spans="61:77" x14ac:dyDescent="0.25">
      <c r="BI266" s="111"/>
      <c r="BK266" s="112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</row>
    <row r="267" spans="61:77" x14ac:dyDescent="0.25">
      <c r="BI267" s="55"/>
      <c r="BK267" s="56"/>
      <c r="BL267" s="56"/>
      <c r="BM267" s="57"/>
      <c r="BN267" s="57"/>
      <c r="BO267" s="57"/>
      <c r="BP267" s="57"/>
      <c r="BQ267" s="57"/>
      <c r="BR267" s="57"/>
      <c r="BS267" s="57"/>
      <c r="BT267" s="56"/>
      <c r="BU267" s="56"/>
      <c r="BV267" s="56"/>
      <c r="BW267" s="56"/>
      <c r="BX267" s="55"/>
      <c r="BY267" s="58"/>
    </row>
  </sheetData>
  <sheetProtection algorithmName="SHA-512" hashValue="t27J+4cqJ9Hr7x72JWBrXSVZEk4UnOnJfjXIDcCrIK0TLp71MCh36jD9jeyTqpbb1xTfRY0WTHGXn5ch3VZraA==" saltValue="tmdXdtrtaI47cf34yeDwyg==" spinCount="100000" sheet="1" objects="1" scenarios="1"/>
  <protectedRanges>
    <protectedRange sqref="G19:H21" name="Rango1"/>
  </protectedRanges>
  <mergeCells count="3">
    <mergeCell ref="AS2:AY2"/>
    <mergeCell ref="A1:B1"/>
    <mergeCell ref="L9:U11"/>
  </mergeCells>
  <phoneticPr fontId="21" type="noConversion"/>
  <hyperlinks>
    <hyperlink ref="P7" r:id="rId1" xr:uid="{00000000-0004-0000-0100-000000000000}"/>
    <hyperlink ref="N5" r:id="rId2" xr:uid="{00000000-0004-0000-0100-000001000000}"/>
    <hyperlink ref="P4" r:id="rId3" xr:uid="{00000000-0004-0000-0100-000002000000}"/>
  </hyperlinks>
  <pageMargins left="0.7" right="0.7" top="0.75" bottom="0.75" header="0.51180555555555551" footer="0.51180555555555551"/>
  <pageSetup paperSize="9" firstPageNumber="0" orientation="portrait" horizontalDpi="300" verticalDpi="300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Lista desplegable 1">
              <controlPr defaultSize="0" autoLine="0" autoPict="0">
                <anchor moveWithCells="1">
                  <from>
                    <xdr:col>2</xdr:col>
                    <xdr:colOff>342900</xdr:colOff>
                    <xdr:row>5</xdr:row>
                    <xdr:rowOff>9525</xdr:rowOff>
                  </from>
                  <to>
                    <xdr:col>3</xdr:col>
                    <xdr:colOff>685800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Lista desplegable 2">
              <controlPr defaultSize="0" autoLine="0" autoPict="0">
                <anchor moveWithCells="1">
                  <from>
                    <xdr:col>2</xdr:col>
                    <xdr:colOff>342900</xdr:colOff>
                    <xdr:row>7</xdr:row>
                    <xdr:rowOff>19050</xdr:rowOff>
                  </from>
                  <to>
                    <xdr:col>3</xdr:col>
                    <xdr:colOff>685800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Control de número 4">
              <controlPr defaultSize="0" autoPict="0">
                <anchor moveWithCells="1" sizeWithCells="1">
                  <from>
                    <xdr:col>3</xdr:col>
                    <xdr:colOff>342900</xdr:colOff>
                    <xdr:row>8</xdr:row>
                    <xdr:rowOff>200025</xdr:rowOff>
                  </from>
                  <to>
                    <xdr:col>3</xdr:col>
                    <xdr:colOff>476250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Lista desplegable 5">
              <controlPr defaultSize="0" autoLine="0" autoPict="0">
                <anchor moveWithCells="1">
                  <from>
                    <xdr:col>7</xdr:col>
                    <xdr:colOff>9525</xdr:colOff>
                    <xdr:row>5</xdr:row>
                    <xdr:rowOff>19050</xdr:rowOff>
                  </from>
                  <to>
                    <xdr:col>8</xdr:col>
                    <xdr:colOff>161925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Lista desplegable 6">
              <controlPr defaultSize="0" autoLine="0" autoPict="0">
                <anchor moveWithCells="1">
                  <from>
                    <xdr:col>6</xdr:col>
                    <xdr:colOff>723900</xdr:colOff>
                    <xdr:row>7</xdr:row>
                    <xdr:rowOff>19050</xdr:rowOff>
                  </from>
                  <to>
                    <xdr:col>8</xdr:col>
                    <xdr:colOff>161925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Botón de opción 11">
              <controlPr defaultSize="0" autoFill="0" autoLine="0" autoPict="0">
                <anchor moveWithCells="1">
                  <from>
                    <xdr:col>6</xdr:col>
                    <xdr:colOff>304800</xdr:colOff>
                    <xdr:row>17</xdr:row>
                    <xdr:rowOff>142875</xdr:rowOff>
                  </from>
                  <to>
                    <xdr:col>7</xdr:col>
                    <xdr:colOff>304800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Botón de opción 12">
              <controlPr defaultSize="0" autoFill="0" autoLine="0" autoPict="0">
                <anchor moveWithCells="1">
                  <from>
                    <xdr:col>6</xdr:col>
                    <xdr:colOff>304800</xdr:colOff>
                    <xdr:row>19</xdr:row>
                    <xdr:rowOff>161925</xdr:rowOff>
                  </from>
                  <to>
                    <xdr:col>7</xdr:col>
                    <xdr:colOff>238125</xdr:colOff>
                    <xdr:row>20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V42"/>
  <sheetViews>
    <sheetView workbookViewId="0">
      <selection activeCell="G12" sqref="G12"/>
    </sheetView>
  </sheetViews>
  <sheetFormatPr baseColWidth="10" defaultRowHeight="15" x14ac:dyDescent="0.25"/>
  <cols>
    <col min="1" max="1" width="11.42578125" style="119"/>
    <col min="2" max="2" width="53.5703125" style="119" customWidth="1"/>
    <col min="3" max="3" width="11.42578125" style="119" customWidth="1"/>
    <col min="4" max="4" width="11.42578125" style="119"/>
    <col min="5" max="5" width="7" style="119" customWidth="1"/>
    <col min="6" max="6" width="13.28515625" style="119" customWidth="1"/>
    <col min="7" max="7" width="13" style="119" customWidth="1"/>
    <col min="8" max="8" width="11.42578125" style="119" customWidth="1"/>
    <col min="9" max="9" width="0.140625" style="119" customWidth="1"/>
    <col min="10" max="10" width="48.140625" style="119" customWidth="1"/>
    <col min="11" max="16384" width="11.42578125" style="119"/>
  </cols>
  <sheetData>
    <row r="2" spans="1:22" x14ac:dyDescent="0.25">
      <c r="H2" s="9"/>
      <c r="I2" s="9"/>
      <c r="J2" s="9"/>
      <c r="K2" s="9"/>
      <c r="L2" s="9"/>
      <c r="M2" s="9"/>
    </row>
    <row r="3" spans="1:22" ht="26.25" x14ac:dyDescent="0.4">
      <c r="A3" s="113"/>
      <c r="B3" s="114" t="s">
        <v>145</v>
      </c>
      <c r="C3" s="115"/>
      <c r="D3" s="116"/>
      <c r="E3" s="117"/>
      <c r="F3" s="118"/>
      <c r="G3" s="118"/>
      <c r="H3" s="9"/>
      <c r="I3" s="9"/>
      <c r="J3" s="8" t="s">
        <v>260</v>
      </c>
      <c r="K3" s="8"/>
      <c r="L3" s="9"/>
      <c r="M3" s="9"/>
    </row>
    <row r="4" spans="1:22" ht="23.25" x14ac:dyDescent="0.35">
      <c r="A4" s="113"/>
      <c r="C4" s="113"/>
      <c r="E4" s="113"/>
      <c r="H4" s="9"/>
      <c r="I4" s="9"/>
      <c r="J4" s="9" t="s">
        <v>252</v>
      </c>
      <c r="K4" s="10" t="s">
        <v>253</v>
      </c>
      <c r="L4" s="9"/>
      <c r="M4" s="9"/>
    </row>
    <row r="5" spans="1:22" x14ac:dyDescent="0.25">
      <c r="B5" s="119" t="s">
        <v>229</v>
      </c>
      <c r="H5" s="9"/>
      <c r="I5" s="9"/>
      <c r="J5" s="9" t="s">
        <v>261</v>
      </c>
      <c r="K5" s="10" t="s">
        <v>255</v>
      </c>
      <c r="L5" s="9"/>
      <c r="M5" s="9"/>
      <c r="P5" s="120" t="s">
        <v>146</v>
      </c>
      <c r="Q5" s="121" t="s">
        <v>154</v>
      </c>
      <c r="R5" s="122"/>
      <c r="S5" s="122"/>
      <c r="T5" s="123"/>
      <c r="U5" s="124"/>
    </row>
    <row r="6" spans="1:22" x14ac:dyDescent="0.25">
      <c r="H6" s="9"/>
      <c r="I6" s="9"/>
      <c r="J6" s="9"/>
      <c r="K6" s="9"/>
      <c r="L6" s="9"/>
      <c r="M6" s="9"/>
      <c r="P6" s="125">
        <v>0.05</v>
      </c>
      <c r="Q6" s="126" t="s">
        <v>177</v>
      </c>
      <c r="R6" s="127"/>
      <c r="S6" s="127"/>
      <c r="T6" s="127"/>
      <c r="U6" s="128"/>
      <c r="V6" s="119">
        <f>P6</f>
        <v>0.05</v>
      </c>
    </row>
    <row r="7" spans="1:22" x14ac:dyDescent="0.25">
      <c r="B7" s="119" t="s">
        <v>165</v>
      </c>
      <c r="P7" s="129">
        <v>0.1</v>
      </c>
      <c r="Q7" s="130" t="s">
        <v>147</v>
      </c>
      <c r="R7" s="131"/>
      <c r="S7" s="131"/>
      <c r="T7" s="131"/>
      <c r="U7" s="132"/>
      <c r="V7" s="119">
        <f t="shared" ref="V7:V42" si="0">P7</f>
        <v>0.1</v>
      </c>
    </row>
    <row r="8" spans="1:22" x14ac:dyDescent="0.25">
      <c r="B8" s="119" t="s">
        <v>164</v>
      </c>
      <c r="V8" s="119">
        <f t="shared" si="0"/>
        <v>0</v>
      </c>
    </row>
    <row r="9" spans="1:22" x14ac:dyDescent="0.25">
      <c r="B9" s="119" t="s">
        <v>163</v>
      </c>
      <c r="P9" s="120" t="s">
        <v>148</v>
      </c>
      <c r="Q9" s="121" t="s">
        <v>153</v>
      </c>
      <c r="R9" s="122"/>
      <c r="S9" s="122"/>
      <c r="T9" s="123"/>
      <c r="U9" s="124"/>
      <c r="V9" s="119" t="str">
        <f t="shared" si="0"/>
        <v>Ka</v>
      </c>
    </row>
    <row r="10" spans="1:22" x14ac:dyDescent="0.25">
      <c r="B10" s="119" t="s">
        <v>199</v>
      </c>
      <c r="P10" s="125">
        <v>2E-3</v>
      </c>
      <c r="Q10" s="126" t="s">
        <v>149</v>
      </c>
      <c r="R10" s="127"/>
      <c r="S10" s="127"/>
      <c r="T10" s="127"/>
      <c r="U10" s="128"/>
      <c r="V10" s="119">
        <f t="shared" si="0"/>
        <v>2E-3</v>
      </c>
    </row>
    <row r="11" spans="1:22" x14ac:dyDescent="0.25">
      <c r="B11" s="119" t="s">
        <v>157</v>
      </c>
      <c r="P11" s="125">
        <v>5.0000000000000001E-3</v>
      </c>
      <c r="Q11" s="126" t="s">
        <v>150</v>
      </c>
      <c r="R11" s="127"/>
      <c r="S11" s="127"/>
      <c r="T11" s="127"/>
      <c r="U11" s="128"/>
      <c r="V11" s="119">
        <f t="shared" si="0"/>
        <v>5.0000000000000001E-3</v>
      </c>
    </row>
    <row r="12" spans="1:22" x14ac:dyDescent="0.25">
      <c r="B12" s="119" t="s">
        <v>162</v>
      </c>
      <c r="P12" s="129">
        <v>1.2E-2</v>
      </c>
      <c r="Q12" s="130" t="s">
        <v>151</v>
      </c>
      <c r="R12" s="131"/>
      <c r="S12" s="131"/>
      <c r="T12" s="131"/>
      <c r="U12" s="132"/>
      <c r="V12" s="119">
        <f t="shared" si="0"/>
        <v>1.2E-2</v>
      </c>
    </row>
    <row r="13" spans="1:22" x14ac:dyDescent="0.25">
      <c r="B13" s="119" t="s">
        <v>166</v>
      </c>
      <c r="V13" s="119">
        <f t="shared" si="0"/>
        <v>0</v>
      </c>
    </row>
    <row r="14" spans="1:22" x14ac:dyDescent="0.25">
      <c r="P14" s="120" t="s">
        <v>152</v>
      </c>
      <c r="Q14" s="133" t="s">
        <v>155</v>
      </c>
      <c r="R14" s="133"/>
      <c r="S14" s="133"/>
      <c r="T14" s="133"/>
      <c r="U14" s="134"/>
      <c r="V14" s="119" t="str">
        <f t="shared" si="0"/>
        <v>Kc</v>
      </c>
    </row>
    <row r="15" spans="1:22" x14ac:dyDescent="0.25">
      <c r="P15" s="125">
        <v>0</v>
      </c>
      <c r="Q15" s="118" t="s">
        <v>156</v>
      </c>
      <c r="R15" s="118"/>
      <c r="S15" s="118"/>
      <c r="T15" s="118"/>
      <c r="U15" s="135"/>
      <c r="V15" s="119">
        <f t="shared" si="0"/>
        <v>0</v>
      </c>
    </row>
    <row r="16" spans="1:22" x14ac:dyDescent="0.25">
      <c r="B16" s="136" t="s">
        <v>176</v>
      </c>
      <c r="C16" s="137"/>
      <c r="D16" s="137"/>
      <c r="E16" s="137"/>
      <c r="F16" s="134"/>
      <c r="P16" s="125">
        <v>0.05</v>
      </c>
      <c r="Q16" s="118" t="s">
        <v>195</v>
      </c>
      <c r="R16" s="118"/>
      <c r="S16" s="118"/>
      <c r="T16" s="118"/>
      <c r="U16" s="135"/>
      <c r="V16" s="119">
        <f t="shared" si="0"/>
        <v>0.05</v>
      </c>
    </row>
    <row r="17" spans="2:22" x14ac:dyDescent="0.25">
      <c r="B17" s="138"/>
      <c r="C17" s="118"/>
      <c r="D17" s="118"/>
      <c r="E17" s="118"/>
      <c r="F17" s="135"/>
      <c r="P17" s="125">
        <v>0.1</v>
      </c>
      <c r="Q17" s="118" t="s">
        <v>196</v>
      </c>
      <c r="R17" s="118"/>
      <c r="S17" s="118"/>
      <c r="T17" s="118"/>
      <c r="U17" s="135"/>
      <c r="V17" s="119">
        <f t="shared" si="0"/>
        <v>0.1</v>
      </c>
    </row>
    <row r="18" spans="2:22" x14ac:dyDescent="0.25">
      <c r="B18" s="139" t="s">
        <v>147</v>
      </c>
      <c r="C18" s="140" t="s">
        <v>179</v>
      </c>
      <c r="D18" s="141">
        <f>VLOOKUP(B18,Q6:V7,6,FALSE)</f>
        <v>0.1</v>
      </c>
      <c r="E18" s="118"/>
      <c r="F18" s="135"/>
      <c r="P18" s="125">
        <v>0.15</v>
      </c>
      <c r="Q18" s="118" t="s">
        <v>197</v>
      </c>
      <c r="R18" s="118"/>
      <c r="S18" s="118"/>
      <c r="T18" s="118"/>
      <c r="U18" s="135"/>
      <c r="V18" s="119">
        <f t="shared" si="0"/>
        <v>0.15</v>
      </c>
    </row>
    <row r="19" spans="2:22" x14ac:dyDescent="0.25">
      <c r="B19" s="139" t="s">
        <v>149</v>
      </c>
      <c r="C19" s="140" t="s">
        <v>178</v>
      </c>
      <c r="D19" s="141">
        <f>VLOOKUP(B19,Q10:V12,6,FALSE)</f>
        <v>2E-3</v>
      </c>
      <c r="E19" s="118"/>
      <c r="F19" s="135"/>
      <c r="P19" s="129">
        <v>0.2</v>
      </c>
      <c r="Q19" s="142" t="s">
        <v>198</v>
      </c>
      <c r="R19" s="142"/>
      <c r="S19" s="142"/>
      <c r="T19" s="142"/>
      <c r="U19" s="143"/>
      <c r="V19" s="119">
        <f t="shared" si="0"/>
        <v>0.2</v>
      </c>
    </row>
    <row r="20" spans="2:22" x14ac:dyDescent="0.25">
      <c r="B20" s="139" t="s">
        <v>156</v>
      </c>
      <c r="C20" s="140" t="s">
        <v>180</v>
      </c>
      <c r="D20" s="141">
        <f>VLOOKUP(B20,Q15:V19,6,FALSE)</f>
        <v>0</v>
      </c>
      <c r="E20" s="118"/>
      <c r="F20" s="135"/>
      <c r="V20" s="119">
        <f t="shared" si="0"/>
        <v>0</v>
      </c>
    </row>
    <row r="21" spans="2:22" x14ac:dyDescent="0.25">
      <c r="B21" s="139" t="s">
        <v>192</v>
      </c>
      <c r="C21" s="140" t="s">
        <v>186</v>
      </c>
      <c r="D21" s="141">
        <f>VLOOKUP(B21,Q41:V42,6,FALSE)</f>
        <v>0.1</v>
      </c>
      <c r="E21" s="118"/>
      <c r="F21" s="135"/>
      <c r="P21" s="120" t="s">
        <v>158</v>
      </c>
      <c r="Q21" s="133" t="s">
        <v>159</v>
      </c>
      <c r="R21" s="133"/>
      <c r="S21" s="133"/>
      <c r="T21" s="137"/>
      <c r="U21" s="134"/>
      <c r="V21" s="119" t="str">
        <f t="shared" si="0"/>
        <v>Kv</v>
      </c>
    </row>
    <row r="22" spans="2:22" x14ac:dyDescent="0.25">
      <c r="B22" s="139" t="s">
        <v>161</v>
      </c>
      <c r="C22" s="140" t="s">
        <v>183</v>
      </c>
      <c r="D22" s="141">
        <f>VLOOKUP(B22,Q22:V23,6,FALSE)</f>
        <v>0.05</v>
      </c>
      <c r="E22" s="118"/>
      <c r="F22" s="135"/>
      <c r="P22" s="125">
        <v>0.15</v>
      </c>
      <c r="Q22" s="118" t="s">
        <v>160</v>
      </c>
      <c r="R22" s="118"/>
      <c r="S22" s="118"/>
      <c r="T22" s="118"/>
      <c r="U22" s="135"/>
      <c r="V22" s="119">
        <f t="shared" si="0"/>
        <v>0.15</v>
      </c>
    </row>
    <row r="23" spans="2:22" x14ac:dyDescent="0.25">
      <c r="B23" s="139" t="s">
        <v>173</v>
      </c>
      <c r="C23" s="140" t="s">
        <v>184</v>
      </c>
      <c r="D23" s="141">
        <f>VLOOKUP(B23,Q26:V32,6,FALSE)</f>
        <v>0.5</v>
      </c>
      <c r="E23" s="118"/>
      <c r="F23" s="135"/>
      <c r="P23" s="129">
        <v>0.05</v>
      </c>
      <c r="Q23" s="142" t="s">
        <v>161</v>
      </c>
      <c r="R23" s="142"/>
      <c r="S23" s="142"/>
      <c r="T23" s="142"/>
      <c r="U23" s="143"/>
      <c r="V23" s="119">
        <f t="shared" si="0"/>
        <v>0.05</v>
      </c>
    </row>
    <row r="24" spans="2:22" x14ac:dyDescent="0.25">
      <c r="B24" s="139" t="s">
        <v>187</v>
      </c>
      <c r="C24" s="140" t="s">
        <v>185</v>
      </c>
      <c r="D24" s="144">
        <f>VLOOKUP(B24,Q35:V38,6,FALSE)</f>
        <v>3</v>
      </c>
      <c r="E24" s="118"/>
      <c r="F24" s="135"/>
      <c r="V24" s="119">
        <f t="shared" si="0"/>
        <v>0</v>
      </c>
    </row>
    <row r="25" spans="2:22" x14ac:dyDescent="0.25">
      <c r="B25" s="138"/>
      <c r="C25" s="140"/>
      <c r="D25" s="118"/>
      <c r="E25" s="118"/>
      <c r="F25" s="135"/>
      <c r="P25" s="120" t="s">
        <v>167</v>
      </c>
      <c r="Q25" s="133" t="s">
        <v>168</v>
      </c>
      <c r="R25" s="133"/>
      <c r="S25" s="133"/>
      <c r="T25" s="145"/>
      <c r="V25" s="119" t="str">
        <f t="shared" si="0"/>
        <v>Pd</v>
      </c>
    </row>
    <row r="26" spans="2:22" ht="26.25" x14ac:dyDescent="0.4">
      <c r="B26" s="146" t="s">
        <v>145</v>
      </c>
      <c r="C26" s="147"/>
      <c r="D26" s="147"/>
      <c r="E26" s="147" t="s">
        <v>194</v>
      </c>
      <c r="F26" s="148">
        <f>1-((1-D18-D20-D21-D22)*D19*D24/D23)-D18-D20-D21-D22</f>
        <v>0.74099999999999999</v>
      </c>
      <c r="P26" s="125">
        <v>0.9</v>
      </c>
      <c r="Q26" s="149" t="s">
        <v>169</v>
      </c>
      <c r="R26" s="118"/>
      <c r="S26" s="118"/>
      <c r="T26" s="135"/>
      <c r="V26" s="119">
        <f t="shared" si="0"/>
        <v>0.9</v>
      </c>
    </row>
    <row r="27" spans="2:22" x14ac:dyDescent="0.25">
      <c r="F27" s="150"/>
      <c r="P27" s="125">
        <v>0.8</v>
      </c>
      <c r="Q27" s="149" t="s">
        <v>170</v>
      </c>
      <c r="R27" s="118"/>
      <c r="S27" s="118"/>
      <c r="T27" s="135"/>
      <c r="V27" s="119">
        <f t="shared" si="0"/>
        <v>0.8</v>
      </c>
    </row>
    <row r="28" spans="2:22" x14ac:dyDescent="0.25">
      <c r="P28" s="125">
        <v>0.7</v>
      </c>
      <c r="Q28" s="149" t="s">
        <v>171</v>
      </c>
      <c r="R28" s="118"/>
      <c r="S28" s="118"/>
      <c r="T28" s="135"/>
      <c r="V28" s="119">
        <f t="shared" si="0"/>
        <v>0.7</v>
      </c>
    </row>
    <row r="29" spans="2:22" x14ac:dyDescent="0.25">
      <c r="P29" s="125">
        <v>0.6</v>
      </c>
      <c r="Q29" s="149" t="s">
        <v>172</v>
      </c>
      <c r="R29" s="118"/>
      <c r="S29" s="118"/>
      <c r="T29" s="135"/>
      <c r="V29" s="119">
        <f t="shared" si="0"/>
        <v>0.6</v>
      </c>
    </row>
    <row r="30" spans="2:22" x14ac:dyDescent="0.25">
      <c r="J30" s="151"/>
      <c r="P30" s="125">
        <v>0.5</v>
      </c>
      <c r="Q30" s="149" t="s">
        <v>173</v>
      </c>
      <c r="R30" s="118"/>
      <c r="S30" s="118"/>
      <c r="T30" s="135"/>
      <c r="V30" s="119">
        <f t="shared" si="0"/>
        <v>0.5</v>
      </c>
    </row>
    <row r="31" spans="2:22" x14ac:dyDescent="0.25">
      <c r="P31" s="125">
        <v>0.4</v>
      </c>
      <c r="Q31" s="149" t="s">
        <v>174</v>
      </c>
      <c r="R31" s="118"/>
      <c r="S31" s="118"/>
      <c r="T31" s="135"/>
      <c r="V31" s="119">
        <f t="shared" si="0"/>
        <v>0.4</v>
      </c>
    </row>
    <row r="32" spans="2:22" x14ac:dyDescent="0.25">
      <c r="P32" s="129">
        <v>0.3</v>
      </c>
      <c r="Q32" s="152" t="s">
        <v>175</v>
      </c>
      <c r="R32" s="142"/>
      <c r="S32" s="142"/>
      <c r="T32" s="143"/>
      <c r="V32" s="119">
        <f t="shared" si="0"/>
        <v>0.3</v>
      </c>
    </row>
    <row r="33" spans="16:22" x14ac:dyDescent="0.25">
      <c r="V33" s="119">
        <f t="shared" si="0"/>
        <v>0</v>
      </c>
    </row>
    <row r="34" spans="16:22" x14ac:dyDescent="0.25">
      <c r="P34" s="120" t="s">
        <v>181</v>
      </c>
      <c r="Q34" s="121" t="s">
        <v>182</v>
      </c>
      <c r="R34" s="122"/>
      <c r="S34" s="122"/>
      <c r="T34" s="134"/>
      <c r="V34" s="119" t="str">
        <f t="shared" si="0"/>
        <v>N</v>
      </c>
    </row>
    <row r="35" spans="16:22" x14ac:dyDescent="0.25">
      <c r="P35" s="125">
        <v>3</v>
      </c>
      <c r="Q35" s="118" t="s">
        <v>187</v>
      </c>
      <c r="R35" s="118"/>
      <c r="S35" s="118"/>
      <c r="T35" s="135"/>
      <c r="V35" s="119">
        <f t="shared" si="0"/>
        <v>3</v>
      </c>
    </row>
    <row r="36" spans="16:22" x14ac:dyDescent="0.25">
      <c r="P36" s="125">
        <v>5</v>
      </c>
      <c r="Q36" s="118" t="s">
        <v>188</v>
      </c>
      <c r="R36" s="118"/>
      <c r="S36" s="118"/>
      <c r="T36" s="135"/>
      <c r="V36" s="119">
        <f t="shared" si="0"/>
        <v>5</v>
      </c>
    </row>
    <row r="37" spans="16:22" x14ac:dyDescent="0.25">
      <c r="P37" s="125">
        <v>15</v>
      </c>
      <c r="Q37" s="118" t="s">
        <v>189</v>
      </c>
      <c r="R37" s="118"/>
      <c r="S37" s="118"/>
      <c r="T37" s="135"/>
      <c r="V37" s="119">
        <f t="shared" si="0"/>
        <v>15</v>
      </c>
    </row>
    <row r="38" spans="16:22" x14ac:dyDescent="0.25">
      <c r="P38" s="129">
        <v>20</v>
      </c>
      <c r="Q38" s="142" t="s">
        <v>190</v>
      </c>
      <c r="R38" s="142"/>
      <c r="S38" s="142"/>
      <c r="T38" s="143"/>
      <c r="V38" s="119">
        <f t="shared" si="0"/>
        <v>20</v>
      </c>
    </row>
    <row r="39" spans="16:22" x14ac:dyDescent="0.25">
      <c r="V39" s="119">
        <f t="shared" si="0"/>
        <v>0</v>
      </c>
    </row>
    <row r="40" spans="16:22" x14ac:dyDescent="0.25">
      <c r="P40" s="120" t="s">
        <v>158</v>
      </c>
      <c r="Q40" s="133" t="s">
        <v>191</v>
      </c>
      <c r="R40" s="133"/>
      <c r="S40" s="133"/>
      <c r="T40" s="134"/>
      <c r="V40" s="119" t="str">
        <f t="shared" si="0"/>
        <v>Kv</v>
      </c>
    </row>
    <row r="41" spans="16:22" x14ac:dyDescent="0.25">
      <c r="P41" s="125">
        <v>0.1</v>
      </c>
      <c r="Q41" s="118" t="s">
        <v>192</v>
      </c>
      <c r="R41" s="118"/>
      <c r="S41" s="118"/>
      <c r="T41" s="135"/>
      <c r="V41" s="119">
        <f t="shared" si="0"/>
        <v>0.1</v>
      </c>
    </row>
    <row r="42" spans="16:22" x14ac:dyDescent="0.25">
      <c r="P42" s="129">
        <v>0.15</v>
      </c>
      <c r="Q42" s="142" t="s">
        <v>193</v>
      </c>
      <c r="R42" s="142"/>
      <c r="S42" s="142"/>
      <c r="T42" s="143"/>
      <c r="V42" s="119">
        <f t="shared" si="0"/>
        <v>0.15</v>
      </c>
    </row>
  </sheetData>
  <sheetProtection algorithmName="SHA-512" hashValue="UbCoNLD7jyL2HtUtgE9FC2wnMJxni4QMvvUwQWUFM4tjqoFrVlttpTEDaZ9Rplqc9rvfFcWoSMQpQVyGjaZsWA==" saltValue="FICPo+MtoV7I5w9fyNlAGw==" spinCount="100000" sheet="1" objects="1" scenarios="1"/>
  <dataValidations count="7">
    <dataValidation type="list" allowBlank="1" showInputMessage="1" showErrorMessage="1" sqref="B18" xr:uid="{00000000-0002-0000-0200-000000000000}">
      <formula1>$Q$6:$Q$7</formula1>
    </dataValidation>
    <dataValidation type="list" allowBlank="1" showInputMessage="1" showErrorMessage="1" sqref="B19" xr:uid="{00000000-0002-0000-0200-000001000000}">
      <formula1>$Q$10:$Q$12</formula1>
    </dataValidation>
    <dataValidation type="list" allowBlank="1" showInputMessage="1" showErrorMessage="1" sqref="B20" xr:uid="{00000000-0002-0000-0200-000002000000}">
      <formula1>$Q$15:$Q$19</formula1>
    </dataValidation>
    <dataValidation type="list" allowBlank="1" showInputMessage="1" showErrorMessage="1" sqref="B22" xr:uid="{00000000-0002-0000-0200-000003000000}">
      <formula1>$Q$22:$Q$23</formula1>
    </dataValidation>
    <dataValidation type="list" allowBlank="1" showInputMessage="1" showErrorMessage="1" sqref="B23" xr:uid="{00000000-0002-0000-0200-000004000000}">
      <formula1>$Q$26:$Q$32</formula1>
    </dataValidation>
    <dataValidation type="list" allowBlank="1" showInputMessage="1" showErrorMessage="1" sqref="B24" xr:uid="{00000000-0002-0000-0200-000005000000}">
      <formula1>$Q$35:$Q$38</formula1>
    </dataValidation>
    <dataValidation type="list" allowBlank="1" showInputMessage="1" showErrorMessage="1" sqref="B21" xr:uid="{00000000-0002-0000-0200-000006000000}">
      <formula1>$Q$41:$Q$42</formula1>
    </dataValidation>
  </dataValidations>
  <hyperlinks>
    <hyperlink ref="K5" r:id="rId1" xr:uid="{00000000-0004-0000-0200-000000000000}"/>
    <hyperlink ref="K4" r:id="rId2" xr:uid="{00000000-0004-0000-0200-000001000000}"/>
  </hyperlinks>
  <pageMargins left="0.7" right="0.7" top="0.75" bottom="0.75" header="0.3" footer="0.3"/>
  <pageSetup paperSize="9" orientation="portrait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V30"/>
  <sheetViews>
    <sheetView workbookViewId="0">
      <selection activeCell="L21" sqref="L21"/>
    </sheetView>
  </sheetViews>
  <sheetFormatPr baseColWidth="10" defaultRowHeight="15" x14ac:dyDescent="0.25"/>
  <cols>
    <col min="1" max="1" width="11.42578125" style="44"/>
    <col min="2" max="2" width="15.28515625" style="44" customWidth="1"/>
    <col min="3" max="3" width="15.42578125" style="44" customWidth="1"/>
    <col min="4" max="4" width="29" style="44" customWidth="1"/>
    <col min="5" max="5" width="10.140625" style="44" customWidth="1"/>
    <col min="6" max="6" width="10" style="44" customWidth="1"/>
    <col min="7" max="7" width="16.5703125" style="44" customWidth="1"/>
    <col min="8" max="8" width="7.28515625" style="44" customWidth="1"/>
    <col min="9" max="11" width="11.42578125" style="44"/>
    <col min="12" max="12" width="50.28515625" style="44" customWidth="1"/>
    <col min="13" max="16384" width="11.42578125" style="44"/>
  </cols>
  <sheetData>
    <row r="3" spans="2:22" ht="26.25" x14ac:dyDescent="0.4">
      <c r="B3" s="153" t="s">
        <v>200</v>
      </c>
      <c r="C3" s="154"/>
      <c r="D3" s="155"/>
      <c r="E3" s="153"/>
      <c r="F3" s="156"/>
      <c r="G3" s="154"/>
      <c r="H3" s="155"/>
      <c r="I3" s="47"/>
      <c r="K3" s="1"/>
      <c r="L3" s="7" t="s">
        <v>260</v>
      </c>
      <c r="M3" s="7"/>
      <c r="N3" s="1"/>
    </row>
    <row r="4" spans="2:22" x14ac:dyDescent="0.25">
      <c r="K4" s="1"/>
      <c r="L4" s="1" t="s">
        <v>252</v>
      </c>
      <c r="M4" s="2" t="s">
        <v>253</v>
      </c>
      <c r="N4" s="1"/>
    </row>
    <row r="5" spans="2:22" x14ac:dyDescent="0.25">
      <c r="B5" s="44" t="s">
        <v>201</v>
      </c>
      <c r="K5" s="1"/>
      <c r="L5" s="1" t="s">
        <v>265</v>
      </c>
      <c r="M5" s="2" t="s">
        <v>253</v>
      </c>
      <c r="N5" s="1"/>
    </row>
    <row r="6" spans="2:22" x14ac:dyDescent="0.25">
      <c r="B6" s="44" t="s">
        <v>213</v>
      </c>
      <c r="K6" s="1"/>
      <c r="L6" s="1"/>
      <c r="M6" s="1"/>
      <c r="N6" s="1"/>
    </row>
    <row r="8" spans="2:22" ht="26.25" x14ac:dyDescent="0.4">
      <c r="B8" s="157" t="s">
        <v>219</v>
      </c>
      <c r="C8" s="157"/>
      <c r="D8" s="157"/>
      <c r="E8" s="157"/>
      <c r="F8" s="157"/>
      <c r="G8" s="158">
        <f>'1_CONSUMOS'!G44/'3_RENDIMIENTO GLOBAL'!F26</f>
        <v>136.10950453055716</v>
      </c>
      <c r="H8" s="157" t="s">
        <v>202</v>
      </c>
      <c r="V8" s="159" t="s">
        <v>115</v>
      </c>
    </row>
    <row r="9" spans="2:22" ht="26.25" x14ac:dyDescent="0.4">
      <c r="B9" s="157" t="s">
        <v>220</v>
      </c>
      <c r="C9" s="157"/>
      <c r="D9" s="158">
        <f>'2_H.S.P.'!F20</f>
        <v>7.5656052000000003</v>
      </c>
      <c r="E9" s="157" t="s">
        <v>208</v>
      </c>
      <c r="F9" s="157"/>
      <c r="G9" s="157"/>
      <c r="H9" s="157"/>
      <c r="V9" s="160">
        <v>12</v>
      </c>
    </row>
    <row r="10" spans="2:22" ht="26.25" x14ac:dyDescent="0.4">
      <c r="B10" s="157" t="s">
        <v>221</v>
      </c>
      <c r="C10" s="157"/>
      <c r="D10" s="157"/>
      <c r="E10" s="161">
        <v>12</v>
      </c>
      <c r="F10" s="157" t="s">
        <v>110</v>
      </c>
      <c r="V10" s="160">
        <v>24</v>
      </c>
    </row>
    <row r="11" spans="2:22" x14ac:dyDescent="0.25">
      <c r="V11" s="162">
        <v>48</v>
      </c>
    </row>
    <row r="12" spans="2:22" x14ac:dyDescent="0.25">
      <c r="B12" s="44" t="s">
        <v>203</v>
      </c>
    </row>
    <row r="14" spans="2:22" x14ac:dyDescent="0.25">
      <c r="B14" s="92" t="s">
        <v>204</v>
      </c>
      <c r="C14" s="269" t="s">
        <v>292</v>
      </c>
      <c r="D14" s="269"/>
    </row>
    <row r="15" spans="2:22" x14ac:dyDescent="0.25">
      <c r="B15" s="92" t="s">
        <v>205</v>
      </c>
      <c r="C15" s="163">
        <v>10</v>
      </c>
      <c r="D15" s="92" t="s">
        <v>108</v>
      </c>
    </row>
    <row r="16" spans="2:22" x14ac:dyDescent="0.25">
      <c r="B16" s="92" t="s">
        <v>210</v>
      </c>
      <c r="C16" s="163">
        <v>12</v>
      </c>
      <c r="D16" s="92" t="s">
        <v>110</v>
      </c>
      <c r="F16" s="44" t="s">
        <v>212</v>
      </c>
    </row>
    <row r="17" spans="1:9" x14ac:dyDescent="0.25">
      <c r="B17" s="92" t="s">
        <v>206</v>
      </c>
      <c r="C17" s="164">
        <v>17.3</v>
      </c>
      <c r="D17" s="92" t="s">
        <v>110</v>
      </c>
      <c r="F17" s="165" t="str">
        <f>IF(C16&gt;E10,"El Vnom del panel no puede ser superior al V sistema","")</f>
        <v/>
      </c>
      <c r="G17" s="165"/>
      <c r="H17" s="165"/>
      <c r="I17" s="165"/>
    </row>
    <row r="18" spans="1:9" x14ac:dyDescent="0.25">
      <c r="B18" s="92" t="s">
        <v>207</v>
      </c>
      <c r="C18" s="164">
        <v>0.56000000000000005</v>
      </c>
      <c r="D18" s="92" t="s">
        <v>112</v>
      </c>
    </row>
    <row r="19" spans="1:9" x14ac:dyDescent="0.25">
      <c r="B19" s="92" t="s">
        <v>288</v>
      </c>
      <c r="C19" s="164">
        <v>21.6</v>
      </c>
      <c r="D19" s="92" t="s">
        <v>110</v>
      </c>
    </row>
    <row r="20" spans="1:9" x14ac:dyDescent="0.25">
      <c r="B20" s="92" t="s">
        <v>109</v>
      </c>
      <c r="C20" s="164">
        <v>6.13</v>
      </c>
      <c r="D20" s="92" t="s">
        <v>112</v>
      </c>
    </row>
    <row r="22" spans="1:9" ht="26.25" x14ac:dyDescent="0.4">
      <c r="B22" s="157" t="s">
        <v>222</v>
      </c>
      <c r="C22" s="157"/>
      <c r="D22" s="157"/>
      <c r="G22" s="158">
        <f>D9*C18</f>
        <v>4.2367389120000007</v>
      </c>
      <c r="H22" s="157" t="s">
        <v>214</v>
      </c>
    </row>
    <row r="23" spans="1:9" ht="15.75" thickBot="1" x14ac:dyDescent="0.3"/>
    <row r="24" spans="1:9" ht="32.25" thickBot="1" x14ac:dyDescent="0.55000000000000004">
      <c r="B24" s="166" t="s">
        <v>209</v>
      </c>
      <c r="C24" s="167"/>
      <c r="D24" s="167"/>
      <c r="E24" s="168">
        <f>E25*E26</f>
        <v>3</v>
      </c>
    </row>
    <row r="25" spans="1:9" ht="26.25" x14ac:dyDescent="0.4">
      <c r="A25" s="157"/>
      <c r="B25" s="169" t="s">
        <v>211</v>
      </c>
      <c r="C25" s="170"/>
      <c r="D25" s="170"/>
      <c r="E25" s="171">
        <f>E10/C16</f>
        <v>1</v>
      </c>
    </row>
    <row r="26" spans="1:9" ht="26.25" x14ac:dyDescent="0.4">
      <c r="A26" s="157"/>
      <c r="B26" s="46" t="s">
        <v>264</v>
      </c>
      <c r="C26" s="154"/>
      <c r="D26" s="154"/>
      <c r="E26" s="172">
        <f>ROUNDUP((G8/E10)/(C18*D9),0)</f>
        <v>3</v>
      </c>
    </row>
    <row r="27" spans="1:9" ht="26.25" x14ac:dyDescent="0.4">
      <c r="A27" s="157"/>
      <c r="B27" s="157"/>
      <c r="C27" s="157"/>
      <c r="D27" s="157"/>
      <c r="E27" s="157"/>
    </row>
    <row r="28" spans="1:9" ht="26.25" x14ac:dyDescent="0.4">
      <c r="A28" s="157"/>
      <c r="B28" s="157" t="s">
        <v>266</v>
      </c>
      <c r="C28" s="157"/>
      <c r="D28" s="157"/>
      <c r="E28" s="157">
        <f>E24*C15</f>
        <v>30</v>
      </c>
      <c r="F28" s="157" t="s">
        <v>108</v>
      </c>
    </row>
    <row r="29" spans="1:9" ht="26.25" x14ac:dyDescent="0.4">
      <c r="A29" s="157"/>
      <c r="B29" s="157" t="s">
        <v>267</v>
      </c>
      <c r="C29" s="157"/>
      <c r="D29" s="157"/>
      <c r="E29" s="157"/>
      <c r="G29" s="157">
        <f>C18*E26</f>
        <v>1.6800000000000002</v>
      </c>
      <c r="H29" s="157" t="s">
        <v>112</v>
      </c>
    </row>
    <row r="30" spans="1:9" ht="26.25" x14ac:dyDescent="0.4">
      <c r="A30" s="157"/>
      <c r="B30" s="157"/>
      <c r="C30" s="157"/>
      <c r="D30" s="157"/>
      <c r="E30" s="157"/>
    </row>
  </sheetData>
  <sheetProtection algorithmName="SHA-512" hashValue="YqJkZ4vPD9OQzFShM9ypU/uz/GylniMtLnGpOO9Imh/9EKqMkjqyFqWz3Ks7vKIC7Gakh/o8WlUeYpP/pWFLFQ==" saltValue="+nIWt1CIkZuA8c2l168/1w==" spinCount="100000" sheet="1" objects="1" scenarios="1"/>
  <mergeCells count="1">
    <mergeCell ref="C14:D14"/>
  </mergeCells>
  <dataValidations count="1">
    <dataValidation type="list" allowBlank="1" showInputMessage="1" showErrorMessage="1" sqref="E10" xr:uid="{00000000-0002-0000-0300-000000000000}">
      <formula1>$V$9:$V$11</formula1>
    </dataValidation>
  </dataValidations>
  <hyperlinks>
    <hyperlink ref="M5" r:id="rId1" xr:uid="{00000000-0004-0000-0300-000000000000}"/>
    <hyperlink ref="M4" r:id="rId2" xr:uid="{00000000-0004-0000-0300-000001000000}"/>
  </hyperlinks>
  <pageMargins left="0.7" right="0.7" top="0.75" bottom="0.75" header="0.3" footer="0.3"/>
  <pageSetup paperSize="9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V19"/>
  <sheetViews>
    <sheetView workbookViewId="0">
      <selection activeCell="L24" sqref="L24"/>
    </sheetView>
  </sheetViews>
  <sheetFormatPr baseColWidth="10" defaultRowHeight="15" x14ac:dyDescent="0.25"/>
  <cols>
    <col min="1" max="1" width="11.42578125" style="178"/>
    <col min="2" max="2" width="14" style="178" customWidth="1"/>
    <col min="3" max="3" width="11.42578125" style="178"/>
    <col min="4" max="4" width="10.42578125" style="178" customWidth="1"/>
    <col min="5" max="5" width="10.7109375" style="178" customWidth="1"/>
    <col min="6" max="6" width="8" style="178" customWidth="1"/>
    <col min="7" max="7" width="11.42578125" style="178"/>
    <col min="8" max="8" width="8.42578125" style="178" customWidth="1"/>
    <col min="9" max="9" width="13.140625" style="178" customWidth="1"/>
    <col min="10" max="13" width="11.42578125" style="178"/>
    <col min="14" max="14" width="50" style="178" customWidth="1"/>
    <col min="15" max="16384" width="11.42578125" style="178"/>
  </cols>
  <sheetData>
    <row r="2" spans="1:16" x14ac:dyDescent="0.25">
      <c r="M2" s="12"/>
      <c r="N2" s="12"/>
      <c r="O2" s="12"/>
      <c r="P2" s="12"/>
    </row>
    <row r="3" spans="1:16" ht="26.25" x14ac:dyDescent="0.4">
      <c r="A3" s="173"/>
      <c r="B3" s="174" t="s">
        <v>243</v>
      </c>
      <c r="C3" s="175"/>
      <c r="D3" s="176"/>
      <c r="E3" s="176"/>
      <c r="F3" s="175"/>
      <c r="G3" s="175"/>
      <c r="H3" s="175"/>
      <c r="I3" s="175"/>
      <c r="J3" s="175"/>
      <c r="K3" s="177"/>
      <c r="M3" s="12"/>
      <c r="N3" s="11" t="s">
        <v>260</v>
      </c>
      <c r="O3" s="11"/>
      <c r="P3" s="12"/>
    </row>
    <row r="4" spans="1:16" x14ac:dyDescent="0.25">
      <c r="M4" s="12"/>
      <c r="N4" s="12" t="s">
        <v>252</v>
      </c>
      <c r="O4" s="13" t="s">
        <v>253</v>
      </c>
      <c r="P4" s="12"/>
    </row>
    <row r="5" spans="1:16" x14ac:dyDescent="0.25">
      <c r="B5" s="270" t="s">
        <v>244</v>
      </c>
      <c r="C5" s="270"/>
      <c r="D5" s="270"/>
      <c r="E5" s="270"/>
      <c r="F5" s="270"/>
      <c r="G5" s="270"/>
      <c r="H5" s="270"/>
      <c r="I5" s="270"/>
      <c r="J5" s="270"/>
      <c r="K5" s="270"/>
      <c r="M5" s="12"/>
      <c r="N5" s="12" t="s">
        <v>265</v>
      </c>
      <c r="O5" s="13" t="s">
        <v>253</v>
      </c>
      <c r="P5" s="12"/>
    </row>
    <row r="6" spans="1:16" x14ac:dyDescent="0.25">
      <c r="B6" s="270"/>
      <c r="C6" s="270"/>
      <c r="D6" s="270"/>
      <c r="E6" s="270"/>
      <c r="F6" s="270"/>
      <c r="G6" s="270"/>
      <c r="H6" s="270"/>
      <c r="I6" s="270"/>
      <c r="J6" s="270"/>
      <c r="K6" s="270"/>
      <c r="M6" s="12"/>
      <c r="N6" s="12"/>
      <c r="O6" s="12"/>
      <c r="P6" s="12"/>
    </row>
    <row r="8" spans="1:16" ht="26.25" x14ac:dyDescent="0.4">
      <c r="B8" s="173" t="s">
        <v>245</v>
      </c>
      <c r="C8" s="173"/>
      <c r="D8" s="173"/>
      <c r="E8" s="173">
        <f>'4_CÁLCULO PANELES SOLARES'!E10</f>
        <v>12</v>
      </c>
      <c r="F8" s="173" t="s">
        <v>110</v>
      </c>
      <c r="G8" s="173"/>
      <c r="H8" s="173"/>
      <c r="I8" s="173"/>
    </row>
    <row r="9" spans="1:16" ht="26.25" x14ac:dyDescent="0.4">
      <c r="B9" s="173" t="s">
        <v>246</v>
      </c>
      <c r="C9" s="173"/>
      <c r="D9" s="173"/>
      <c r="E9" s="173"/>
      <c r="I9" s="173">
        <f>'4_CÁLCULO PANELES SOLARES'!C18*'4_CÁLCULO PANELES SOLARES'!E26</f>
        <v>1.6800000000000002</v>
      </c>
      <c r="J9" s="173" t="s">
        <v>112</v>
      </c>
    </row>
    <row r="11" spans="1:16" x14ac:dyDescent="0.25">
      <c r="B11" s="178" t="s">
        <v>247</v>
      </c>
    </row>
    <row r="13" spans="1:16" x14ac:dyDescent="0.25">
      <c r="B13" s="179" t="s">
        <v>204</v>
      </c>
      <c r="C13" s="271" t="s">
        <v>293</v>
      </c>
      <c r="D13" s="272"/>
      <c r="E13" s="273"/>
      <c r="G13" s="180" t="s">
        <v>249</v>
      </c>
    </row>
    <row r="14" spans="1:16" x14ac:dyDescent="0.25">
      <c r="B14" s="179" t="s">
        <v>248</v>
      </c>
      <c r="C14" s="271">
        <v>12</v>
      </c>
      <c r="D14" s="273"/>
      <c r="E14" s="181" t="s">
        <v>110</v>
      </c>
      <c r="G14" s="182" t="str">
        <f>IF(E8&gt;C14,"La tensión del sistema es superior al voltaje del regulador","")</f>
        <v/>
      </c>
    </row>
    <row r="15" spans="1:16" x14ac:dyDescent="0.25">
      <c r="B15" s="179" t="s">
        <v>113</v>
      </c>
      <c r="C15" s="271">
        <v>5</v>
      </c>
      <c r="D15" s="273"/>
      <c r="E15" s="181" t="s">
        <v>112</v>
      </c>
      <c r="G15" s="182" t="str">
        <f>IF(G18&gt;C15,"La corriente de los paneles es superior a la intensidad máxima del regulador","")</f>
        <v/>
      </c>
      <c r="H15" s="182"/>
      <c r="I15" s="182"/>
      <c r="J15" s="182"/>
      <c r="K15" s="182"/>
      <c r="L15" s="182"/>
    </row>
    <row r="17" spans="2:22" ht="15.75" thickBot="1" x14ac:dyDescent="0.3"/>
    <row r="18" spans="2:22" ht="26.25" x14ac:dyDescent="0.4">
      <c r="B18" s="183" t="s">
        <v>250</v>
      </c>
      <c r="C18" s="184"/>
      <c r="D18" s="184"/>
      <c r="E18" s="184"/>
      <c r="F18" s="184"/>
      <c r="G18" s="185">
        <f>I9*1.1</f>
        <v>1.8480000000000003</v>
      </c>
      <c r="H18" s="184" t="s">
        <v>112</v>
      </c>
      <c r="I18" s="186"/>
      <c r="J18" s="186"/>
      <c r="K18" s="187"/>
      <c r="V18" s="188"/>
    </row>
    <row r="19" spans="2:22" ht="27" thickBot="1" x14ac:dyDescent="0.45">
      <c r="B19" s="189" t="s">
        <v>251</v>
      </c>
      <c r="C19" s="190"/>
      <c r="D19" s="190"/>
      <c r="E19" s="190">
        <f>E8</f>
        <v>12</v>
      </c>
      <c r="F19" s="190" t="s">
        <v>110</v>
      </c>
      <c r="G19" s="191"/>
      <c r="H19" s="191"/>
      <c r="I19" s="191"/>
      <c r="J19" s="191"/>
      <c r="K19" s="192"/>
      <c r="U19" s="180"/>
    </row>
  </sheetData>
  <sheetProtection algorithmName="SHA-512" hashValue="8OlvycSAqyu7PCqEaEH8gZtognPrZne4DQeh/cWqDjCC7+HfhP95BQML9Uurgd1x+95upTAsI4PqBNL+xaC8IA==" saltValue="Z7u9NVZmNNJB8QJB2uz1Qw==" spinCount="100000" sheet="1" objects="1" scenarios="1"/>
  <mergeCells count="4">
    <mergeCell ref="B5:K6"/>
    <mergeCell ref="C13:E13"/>
    <mergeCell ref="C14:D14"/>
    <mergeCell ref="C15:D15"/>
  </mergeCells>
  <hyperlinks>
    <hyperlink ref="O5" r:id="rId1" xr:uid="{00000000-0004-0000-0400-000000000000}"/>
    <hyperlink ref="O4" r:id="rId2" xr:uid="{00000000-0004-0000-0400-000001000000}"/>
  </hyperlinks>
  <pageMargins left="0.7" right="0.7" top="0.75" bottom="0.75" header="0.3" footer="0.3"/>
  <pageSetup paperSize="9" orientation="portrait" verticalDpi="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M27"/>
  <sheetViews>
    <sheetView workbookViewId="0">
      <selection activeCell="J28" sqref="J28"/>
    </sheetView>
  </sheetViews>
  <sheetFormatPr baseColWidth="10" defaultRowHeight="15" x14ac:dyDescent="0.25"/>
  <cols>
    <col min="1" max="1" width="11.42578125" style="6"/>
    <col min="2" max="2" width="18" style="6" customWidth="1"/>
    <col min="3" max="3" width="14.85546875" style="6" customWidth="1"/>
    <col min="4" max="4" width="15.140625" style="6" customWidth="1"/>
    <col min="5" max="5" width="14.85546875" style="6" customWidth="1"/>
    <col min="6" max="6" width="19.28515625" style="6" customWidth="1"/>
    <col min="7" max="7" width="15.42578125" style="6" customWidth="1"/>
    <col min="8" max="8" width="5.42578125" style="6" customWidth="1"/>
    <col min="9" max="10" width="11.42578125" style="6"/>
    <col min="11" max="11" width="49.5703125" style="6" customWidth="1"/>
    <col min="12" max="16384" width="11.42578125" style="6"/>
  </cols>
  <sheetData>
    <row r="2" spans="2:13" x14ac:dyDescent="0.25">
      <c r="J2" s="4"/>
      <c r="K2" s="4"/>
      <c r="L2" s="4"/>
      <c r="M2" s="4"/>
    </row>
    <row r="3" spans="2:13" ht="26.25" x14ac:dyDescent="0.4">
      <c r="B3" s="193" t="s">
        <v>227</v>
      </c>
      <c r="C3" s="194"/>
      <c r="D3" s="195"/>
      <c r="E3" s="196"/>
      <c r="F3" s="196"/>
      <c r="G3" s="194"/>
      <c r="H3" s="195"/>
      <c r="I3" s="197"/>
      <c r="J3" s="213"/>
      <c r="K3" s="3" t="s">
        <v>260</v>
      </c>
      <c r="L3" s="3"/>
      <c r="M3" s="4"/>
    </row>
    <row r="4" spans="2:13" x14ac:dyDescent="0.25">
      <c r="J4" s="4"/>
      <c r="K4" s="4" t="s">
        <v>252</v>
      </c>
      <c r="L4" s="5" t="s">
        <v>268</v>
      </c>
      <c r="M4" s="4"/>
    </row>
    <row r="5" spans="2:13" x14ac:dyDescent="0.25">
      <c r="B5" s="6" t="s">
        <v>228</v>
      </c>
      <c r="J5" s="4"/>
      <c r="K5" s="4" t="s">
        <v>265</v>
      </c>
      <c r="L5" s="5" t="s">
        <v>253</v>
      </c>
      <c r="M5" s="4"/>
    </row>
    <row r="6" spans="2:13" x14ac:dyDescent="0.25">
      <c r="B6" s="6" t="s">
        <v>238</v>
      </c>
      <c r="J6" s="4"/>
      <c r="K6" s="4"/>
      <c r="L6" s="4"/>
      <c r="M6" s="4"/>
    </row>
    <row r="8" spans="2:13" ht="26.25" x14ac:dyDescent="0.4">
      <c r="B8" s="198" t="s">
        <v>230</v>
      </c>
      <c r="C8" s="198"/>
      <c r="D8" s="198"/>
      <c r="E8" s="199">
        <f>'4_CÁLCULO PANELES SOLARES'!G8</f>
        <v>136.10950453055716</v>
      </c>
      <c r="F8" s="198" t="s">
        <v>202</v>
      </c>
      <c r="G8" s="198"/>
      <c r="H8" s="198"/>
    </row>
    <row r="9" spans="2:13" ht="26.25" x14ac:dyDescent="0.4">
      <c r="B9" s="198" t="s">
        <v>231</v>
      </c>
      <c r="C9" s="198"/>
      <c r="D9" s="198"/>
      <c r="E9" s="198">
        <f>'3_RENDIMIENTO GLOBAL'!D24</f>
        <v>3</v>
      </c>
      <c r="F9" s="198" t="s">
        <v>233</v>
      </c>
      <c r="G9" s="198"/>
      <c r="H9" s="198"/>
    </row>
    <row r="10" spans="2:13" ht="26.25" x14ac:dyDescent="0.4">
      <c r="B10" s="198" t="s">
        <v>232</v>
      </c>
      <c r="C10" s="198"/>
      <c r="D10" s="198"/>
      <c r="E10" s="198">
        <f>'3_RENDIMIENTO GLOBAL'!D23*100</f>
        <v>50</v>
      </c>
      <c r="F10" s="198" t="s">
        <v>111</v>
      </c>
      <c r="G10" s="198"/>
      <c r="H10" s="198"/>
    </row>
    <row r="11" spans="2:13" x14ac:dyDescent="0.25">
      <c r="I11" s="200"/>
    </row>
    <row r="12" spans="2:13" x14ac:dyDescent="0.25">
      <c r="B12" s="6" t="s">
        <v>234</v>
      </c>
    </row>
    <row r="13" spans="2:13" x14ac:dyDescent="0.25">
      <c r="I13" s="201"/>
    </row>
    <row r="14" spans="2:13" x14ac:dyDescent="0.25">
      <c r="B14" s="202" t="s">
        <v>204</v>
      </c>
      <c r="C14" s="274" t="s">
        <v>294</v>
      </c>
      <c r="D14" s="274"/>
    </row>
    <row r="15" spans="2:13" x14ac:dyDescent="0.25">
      <c r="B15" s="202" t="s">
        <v>235</v>
      </c>
      <c r="C15" s="164">
        <v>70</v>
      </c>
      <c r="D15" s="22" t="s">
        <v>114</v>
      </c>
    </row>
    <row r="16" spans="2:13" x14ac:dyDescent="0.25">
      <c r="B16" s="202" t="s">
        <v>236</v>
      </c>
      <c r="C16" s="164">
        <v>12</v>
      </c>
      <c r="D16" s="22" t="s">
        <v>110</v>
      </c>
    </row>
    <row r="18" spans="2:9" ht="15.75" customHeight="1" x14ac:dyDescent="0.4">
      <c r="E18" s="198"/>
      <c r="F18" s="198"/>
      <c r="G18" s="198"/>
    </row>
    <row r="19" spans="2:9" ht="26.25" x14ac:dyDescent="0.4">
      <c r="B19" s="198" t="s">
        <v>237</v>
      </c>
      <c r="C19" s="198"/>
      <c r="D19" s="198"/>
      <c r="E19" s="198"/>
      <c r="F19" s="198"/>
      <c r="G19" s="203">
        <f>(E8*E9/E20)/(E10/100)</f>
        <v>68.05475226527858</v>
      </c>
      <c r="H19" s="198" t="s">
        <v>114</v>
      </c>
    </row>
    <row r="20" spans="2:9" ht="26.25" x14ac:dyDescent="0.4">
      <c r="B20" s="198" t="s">
        <v>239</v>
      </c>
      <c r="C20" s="198"/>
      <c r="D20" s="198"/>
      <c r="E20" s="198">
        <f>'4_CÁLCULO PANELES SOLARES'!E10</f>
        <v>12</v>
      </c>
      <c r="F20" s="198" t="s">
        <v>110</v>
      </c>
      <c r="G20" s="198"/>
    </row>
    <row r="21" spans="2:9" ht="15.75" thickBot="1" x14ac:dyDescent="0.3"/>
    <row r="22" spans="2:9" ht="31.5" x14ac:dyDescent="0.5">
      <c r="B22" s="204" t="s">
        <v>240</v>
      </c>
      <c r="C22" s="205"/>
      <c r="D22" s="205"/>
      <c r="E22" s="205"/>
      <c r="F22" s="205"/>
      <c r="G22" s="205">
        <f>G23*G24</f>
        <v>1</v>
      </c>
      <c r="H22" s="206"/>
      <c r="I22" s="198"/>
    </row>
    <row r="23" spans="2:9" ht="26.25" x14ac:dyDescent="0.4">
      <c r="B23" s="207" t="s">
        <v>242</v>
      </c>
      <c r="C23" s="208"/>
      <c r="D23" s="208"/>
      <c r="E23" s="208"/>
      <c r="F23" s="208"/>
      <c r="G23" s="208">
        <f>E20/C16</f>
        <v>1</v>
      </c>
      <c r="H23" s="209"/>
      <c r="I23" s="198"/>
    </row>
    <row r="24" spans="2:9" ht="27" thickBot="1" x14ac:dyDescent="0.45">
      <c r="B24" s="210" t="s">
        <v>241</v>
      </c>
      <c r="C24" s="211"/>
      <c r="D24" s="211"/>
      <c r="E24" s="211"/>
      <c r="F24" s="211"/>
      <c r="G24" s="211">
        <f>ROUNDUP(G19/C15,0)</f>
        <v>1</v>
      </c>
      <c r="H24" s="212"/>
      <c r="I24" s="198"/>
    </row>
    <row r="25" spans="2:9" ht="26.25" x14ac:dyDescent="0.4">
      <c r="B25" s="198"/>
      <c r="C25" s="198"/>
      <c r="D25" s="198"/>
      <c r="E25" s="198"/>
      <c r="F25" s="198"/>
      <c r="G25" s="198"/>
      <c r="H25" s="198"/>
      <c r="I25" s="198"/>
    </row>
    <row r="26" spans="2:9" ht="26.25" x14ac:dyDescent="0.4">
      <c r="B26" s="198"/>
      <c r="C26" s="198"/>
      <c r="D26" s="198"/>
      <c r="E26" s="198"/>
      <c r="F26" s="198"/>
      <c r="G26" s="198"/>
      <c r="H26" s="198"/>
      <c r="I26" s="198"/>
    </row>
    <row r="27" spans="2:9" x14ac:dyDescent="0.25">
      <c r="I27" s="201"/>
    </row>
  </sheetData>
  <sheetProtection algorithmName="SHA-512" hashValue="r7Us/f7hZT8CFZWkYFnPRgShKppV46c3NZv0rybtEdsI14KmFFGD8cmH+NWczhaR0Hihv16AktMtgwKh6WKw9Q==" saltValue="6W/q52n3tMwJd5Izh7z7Qg==" spinCount="100000" sheet="1" objects="1" scenarios="1"/>
  <mergeCells count="1">
    <mergeCell ref="C14:D14"/>
  </mergeCells>
  <hyperlinks>
    <hyperlink ref="L5" r:id="rId1" xr:uid="{00000000-0004-0000-0500-000000000000}"/>
    <hyperlink ref="L4" r:id="rId2" xr:uid="{00000000-0004-0000-0500-000001000000}"/>
  </hyperlinks>
  <pageMargins left="0.7" right="0.7" top="0.75" bottom="0.75" header="0.3" footer="0.3"/>
  <pageSetup paperSize="9" orientation="portrait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25"/>
  <sheetViews>
    <sheetView workbookViewId="0">
      <selection activeCell="I30" sqref="I30"/>
    </sheetView>
  </sheetViews>
  <sheetFormatPr baseColWidth="10" defaultRowHeight="15" x14ac:dyDescent="0.25"/>
  <cols>
    <col min="1" max="1" width="11.42578125" style="119"/>
    <col min="2" max="2" width="22.140625" style="119" customWidth="1"/>
    <col min="3" max="3" width="15.140625" style="119" customWidth="1"/>
    <col min="4" max="4" width="9.140625" style="119" customWidth="1"/>
    <col min="5" max="5" width="10.28515625" style="119" bestFit="1" customWidth="1"/>
    <col min="6" max="6" width="19.5703125" style="119" bestFit="1" customWidth="1"/>
    <col min="7" max="7" width="20.140625" style="119" bestFit="1" customWidth="1"/>
    <col min="8" max="8" width="26.7109375" style="119" customWidth="1"/>
    <col min="9" max="9" width="16.42578125" style="119" customWidth="1"/>
    <col min="10" max="10" width="7.140625" style="119" customWidth="1"/>
    <col min="11" max="11" width="50.42578125" style="119" customWidth="1"/>
    <col min="12" max="16384" width="11.42578125" style="119"/>
  </cols>
  <sheetData>
    <row r="1" spans="2:13" x14ac:dyDescent="0.25">
      <c r="J1" s="9"/>
      <c r="K1" s="9"/>
      <c r="L1" s="9"/>
      <c r="M1" s="9"/>
    </row>
    <row r="2" spans="2:13" ht="26.25" x14ac:dyDescent="0.4">
      <c r="B2" s="114" t="s">
        <v>216</v>
      </c>
      <c r="C2" s="214"/>
      <c r="D2" s="116"/>
      <c r="E2" s="116"/>
      <c r="F2" s="116"/>
      <c r="G2" s="116"/>
      <c r="H2" s="116"/>
      <c r="I2" s="215"/>
      <c r="J2" s="9"/>
      <c r="K2" s="8" t="s">
        <v>260</v>
      </c>
      <c r="L2" s="8"/>
      <c r="M2" s="9"/>
    </row>
    <row r="3" spans="2:13" x14ac:dyDescent="0.25">
      <c r="B3" s="119" t="s">
        <v>270</v>
      </c>
      <c r="J3" s="9"/>
      <c r="K3" s="9" t="s">
        <v>252</v>
      </c>
      <c r="L3" s="10" t="s">
        <v>253</v>
      </c>
      <c r="M3" s="9"/>
    </row>
    <row r="4" spans="2:13" x14ac:dyDescent="0.25">
      <c r="J4" s="9"/>
      <c r="K4" s="9" t="s">
        <v>265</v>
      </c>
      <c r="L4" s="10" t="s">
        <v>253</v>
      </c>
      <c r="M4" s="9"/>
    </row>
    <row r="5" spans="2:13" ht="30" x14ac:dyDescent="0.25">
      <c r="B5" s="216" t="s">
        <v>133</v>
      </c>
      <c r="C5" s="216" t="s">
        <v>134</v>
      </c>
      <c r="D5" s="216" t="s">
        <v>135</v>
      </c>
      <c r="E5" s="216" t="s">
        <v>141</v>
      </c>
      <c r="F5" s="216" t="s">
        <v>142</v>
      </c>
      <c r="G5" s="216" t="s">
        <v>138</v>
      </c>
      <c r="H5" s="216" t="s">
        <v>215</v>
      </c>
      <c r="I5" s="217" t="s">
        <v>217</v>
      </c>
      <c r="J5" s="9"/>
      <c r="K5" s="9"/>
      <c r="L5" s="9"/>
      <c r="M5" s="9"/>
    </row>
    <row r="6" spans="2:13" x14ac:dyDescent="0.25">
      <c r="B6" s="216">
        <f>'1_CONSUMOS'!B26</f>
        <v>0</v>
      </c>
      <c r="C6" s="216">
        <f>'1_CONSUMOS'!C26</f>
        <v>0</v>
      </c>
      <c r="D6" s="216">
        <f>'1_CONSUMOS'!D26</f>
        <v>0</v>
      </c>
      <c r="E6" s="216">
        <f>'1_CONSUMOS'!E26</f>
        <v>0</v>
      </c>
      <c r="F6" s="216">
        <f>'1_CONSUMOS'!F26</f>
        <v>0</v>
      </c>
      <c r="G6" s="216">
        <f>'1_CONSUMOS'!G26</f>
        <v>0</v>
      </c>
      <c r="H6" s="218">
        <v>1</v>
      </c>
      <c r="I6" s="216">
        <f>D6*H6*C6</f>
        <v>0</v>
      </c>
    </row>
    <row r="7" spans="2:13" x14ac:dyDescent="0.25">
      <c r="B7" s="216">
        <f>'1_CONSUMOS'!B27</f>
        <v>0</v>
      </c>
      <c r="C7" s="216">
        <f>'1_CONSUMOS'!C27</f>
        <v>0</v>
      </c>
      <c r="D7" s="216">
        <f>'1_CONSUMOS'!D27</f>
        <v>0</v>
      </c>
      <c r="E7" s="216">
        <f>'1_CONSUMOS'!E27</f>
        <v>0</v>
      </c>
      <c r="F7" s="216">
        <f>'1_CONSUMOS'!F27</f>
        <v>0</v>
      </c>
      <c r="G7" s="216">
        <f>'1_CONSUMOS'!G27</f>
        <v>0</v>
      </c>
      <c r="H7" s="218">
        <v>1</v>
      </c>
      <c r="I7" s="216">
        <f t="shared" ref="I7:I18" si="0">D7*H7*C7</f>
        <v>0</v>
      </c>
    </row>
    <row r="8" spans="2:13" x14ac:dyDescent="0.25">
      <c r="B8" s="216">
        <f>'1_CONSUMOS'!B28</f>
        <v>0</v>
      </c>
      <c r="C8" s="216">
        <f>'1_CONSUMOS'!C28</f>
        <v>0</v>
      </c>
      <c r="D8" s="216">
        <f>'1_CONSUMOS'!D28</f>
        <v>0</v>
      </c>
      <c r="E8" s="216">
        <f>'1_CONSUMOS'!E28</f>
        <v>0</v>
      </c>
      <c r="F8" s="216">
        <f>'1_CONSUMOS'!F28</f>
        <v>0</v>
      </c>
      <c r="G8" s="216">
        <f>'1_CONSUMOS'!G28</f>
        <v>0</v>
      </c>
      <c r="H8" s="218">
        <v>1</v>
      </c>
      <c r="I8" s="216">
        <f t="shared" si="0"/>
        <v>0</v>
      </c>
    </row>
    <row r="9" spans="2:13" x14ac:dyDescent="0.25">
      <c r="B9" s="216">
        <f>'1_CONSUMOS'!B29</f>
        <v>0</v>
      </c>
      <c r="C9" s="216">
        <f>'1_CONSUMOS'!C29</f>
        <v>0</v>
      </c>
      <c r="D9" s="216">
        <f>'1_CONSUMOS'!D29</f>
        <v>0</v>
      </c>
      <c r="E9" s="216">
        <f>'1_CONSUMOS'!E29</f>
        <v>0</v>
      </c>
      <c r="F9" s="216">
        <f>'1_CONSUMOS'!F29</f>
        <v>0</v>
      </c>
      <c r="G9" s="216">
        <f>'1_CONSUMOS'!G29</f>
        <v>0</v>
      </c>
      <c r="H9" s="218">
        <v>1</v>
      </c>
      <c r="I9" s="216">
        <f t="shared" si="0"/>
        <v>0</v>
      </c>
    </row>
    <row r="10" spans="2:13" x14ac:dyDescent="0.25">
      <c r="B10" s="216">
        <f>'1_CONSUMOS'!B30</f>
        <v>0</v>
      </c>
      <c r="C10" s="216">
        <f>'1_CONSUMOS'!C30</f>
        <v>0</v>
      </c>
      <c r="D10" s="216">
        <f>'1_CONSUMOS'!D30</f>
        <v>0</v>
      </c>
      <c r="E10" s="216">
        <f>'1_CONSUMOS'!E30</f>
        <v>0</v>
      </c>
      <c r="F10" s="216">
        <f>'1_CONSUMOS'!F30</f>
        <v>0</v>
      </c>
      <c r="G10" s="216">
        <f>'1_CONSUMOS'!G30</f>
        <v>0</v>
      </c>
      <c r="H10" s="218">
        <v>1</v>
      </c>
      <c r="I10" s="216">
        <f t="shared" si="0"/>
        <v>0</v>
      </c>
    </row>
    <row r="11" spans="2:13" x14ac:dyDescent="0.25">
      <c r="B11" s="216">
        <f>'1_CONSUMOS'!B31</f>
        <v>0</v>
      </c>
      <c r="C11" s="216">
        <f>'1_CONSUMOS'!C31</f>
        <v>0</v>
      </c>
      <c r="D11" s="216">
        <f>'1_CONSUMOS'!D31</f>
        <v>0</v>
      </c>
      <c r="E11" s="216">
        <f>'1_CONSUMOS'!E31</f>
        <v>0</v>
      </c>
      <c r="F11" s="216">
        <f>'1_CONSUMOS'!F31</f>
        <v>0</v>
      </c>
      <c r="G11" s="216">
        <f>'1_CONSUMOS'!G31</f>
        <v>0</v>
      </c>
      <c r="H11" s="218">
        <v>1</v>
      </c>
      <c r="I11" s="216">
        <f t="shared" si="0"/>
        <v>0</v>
      </c>
    </row>
    <row r="12" spans="2:13" x14ac:dyDescent="0.25">
      <c r="B12" s="216">
        <f>'1_CONSUMOS'!B32</f>
        <v>0</v>
      </c>
      <c r="C12" s="216">
        <f>'1_CONSUMOS'!C32</f>
        <v>0</v>
      </c>
      <c r="D12" s="216">
        <f>'1_CONSUMOS'!D32</f>
        <v>0</v>
      </c>
      <c r="E12" s="216">
        <f>'1_CONSUMOS'!E32</f>
        <v>0</v>
      </c>
      <c r="F12" s="216">
        <f>'1_CONSUMOS'!F32</f>
        <v>0</v>
      </c>
      <c r="G12" s="216">
        <f>'1_CONSUMOS'!G32</f>
        <v>0</v>
      </c>
      <c r="H12" s="218">
        <v>1</v>
      </c>
      <c r="I12" s="216">
        <f t="shared" si="0"/>
        <v>0</v>
      </c>
    </row>
    <row r="13" spans="2:13" x14ac:dyDescent="0.25">
      <c r="B13" s="216">
        <f>'1_CONSUMOS'!B33</f>
        <v>0</v>
      </c>
      <c r="C13" s="216">
        <f>'1_CONSUMOS'!C33</f>
        <v>0</v>
      </c>
      <c r="D13" s="216">
        <f>'1_CONSUMOS'!D33</f>
        <v>0</v>
      </c>
      <c r="E13" s="216">
        <f>'1_CONSUMOS'!E33</f>
        <v>0</v>
      </c>
      <c r="F13" s="216">
        <f>'1_CONSUMOS'!F33</f>
        <v>0</v>
      </c>
      <c r="G13" s="216">
        <f>'1_CONSUMOS'!G33</f>
        <v>0</v>
      </c>
      <c r="H13" s="218">
        <v>1</v>
      </c>
      <c r="I13" s="216">
        <f t="shared" si="0"/>
        <v>0</v>
      </c>
    </row>
    <row r="14" spans="2:13" x14ac:dyDescent="0.25">
      <c r="B14" s="216">
        <f>'1_CONSUMOS'!B34</f>
        <v>0</v>
      </c>
      <c r="C14" s="216">
        <f>'1_CONSUMOS'!C34</f>
        <v>0</v>
      </c>
      <c r="D14" s="216">
        <f>'1_CONSUMOS'!D34</f>
        <v>0</v>
      </c>
      <c r="E14" s="216">
        <f>'1_CONSUMOS'!E34</f>
        <v>0</v>
      </c>
      <c r="F14" s="216">
        <f>'1_CONSUMOS'!F34</f>
        <v>0</v>
      </c>
      <c r="G14" s="216">
        <f>'1_CONSUMOS'!G34</f>
        <v>0</v>
      </c>
      <c r="H14" s="218">
        <v>1</v>
      </c>
      <c r="I14" s="216">
        <f t="shared" si="0"/>
        <v>0</v>
      </c>
    </row>
    <row r="15" spans="2:13" x14ac:dyDescent="0.25">
      <c r="B15" s="216">
        <f>'1_CONSUMOS'!B35</f>
        <v>0</v>
      </c>
      <c r="C15" s="216">
        <f>'1_CONSUMOS'!C35</f>
        <v>0</v>
      </c>
      <c r="D15" s="216">
        <f>'1_CONSUMOS'!D35</f>
        <v>0</v>
      </c>
      <c r="E15" s="216">
        <f>'1_CONSUMOS'!E35</f>
        <v>0</v>
      </c>
      <c r="F15" s="216">
        <f>'1_CONSUMOS'!F35</f>
        <v>0</v>
      </c>
      <c r="G15" s="216">
        <f>'1_CONSUMOS'!G35</f>
        <v>0</v>
      </c>
      <c r="H15" s="218">
        <v>1</v>
      </c>
      <c r="I15" s="216">
        <f t="shared" si="0"/>
        <v>0</v>
      </c>
    </row>
    <row r="16" spans="2:13" x14ac:dyDescent="0.25">
      <c r="B16" s="216">
        <f>'1_CONSUMOS'!B36</f>
        <v>0</v>
      </c>
      <c r="C16" s="216">
        <f>'1_CONSUMOS'!C36</f>
        <v>0</v>
      </c>
      <c r="D16" s="216">
        <f>'1_CONSUMOS'!D36</f>
        <v>0</v>
      </c>
      <c r="E16" s="216">
        <f>'1_CONSUMOS'!E36</f>
        <v>0</v>
      </c>
      <c r="F16" s="216">
        <f>'1_CONSUMOS'!F36</f>
        <v>0</v>
      </c>
      <c r="G16" s="216">
        <f>'1_CONSUMOS'!G36</f>
        <v>0</v>
      </c>
      <c r="H16" s="218">
        <v>1</v>
      </c>
      <c r="I16" s="216">
        <f t="shared" si="0"/>
        <v>0</v>
      </c>
    </row>
    <row r="17" spans="2:10" x14ac:dyDescent="0.25">
      <c r="B17" s="216">
        <f>'1_CONSUMOS'!B37</f>
        <v>0</v>
      </c>
      <c r="C17" s="216">
        <f>'1_CONSUMOS'!C37</f>
        <v>0</v>
      </c>
      <c r="D17" s="216">
        <f>'1_CONSUMOS'!D37</f>
        <v>0</v>
      </c>
      <c r="E17" s="216">
        <f>'1_CONSUMOS'!E37</f>
        <v>0</v>
      </c>
      <c r="F17" s="216">
        <f>'1_CONSUMOS'!F37</f>
        <v>0</v>
      </c>
      <c r="G17" s="216">
        <f>'1_CONSUMOS'!G37</f>
        <v>0</v>
      </c>
      <c r="H17" s="218">
        <v>1</v>
      </c>
      <c r="I17" s="216">
        <f t="shared" si="0"/>
        <v>0</v>
      </c>
    </row>
    <row r="18" spans="2:10" x14ac:dyDescent="0.25">
      <c r="B18" s="216">
        <f>'1_CONSUMOS'!B38</f>
        <v>0</v>
      </c>
      <c r="C18" s="216">
        <f>'1_CONSUMOS'!C38</f>
        <v>0</v>
      </c>
      <c r="D18" s="216">
        <f>'1_CONSUMOS'!D38</f>
        <v>0</v>
      </c>
      <c r="E18" s="216">
        <f>'1_CONSUMOS'!E38</f>
        <v>0</v>
      </c>
      <c r="F18" s="216">
        <f>'1_CONSUMOS'!F38</f>
        <v>0</v>
      </c>
      <c r="G18" s="216">
        <f>'1_CONSUMOS'!G38</f>
        <v>0</v>
      </c>
      <c r="H18" s="218">
        <v>1</v>
      </c>
      <c r="I18" s="216">
        <f t="shared" si="0"/>
        <v>0</v>
      </c>
    </row>
    <row r="19" spans="2:10" ht="18.75" x14ac:dyDescent="0.3">
      <c r="B19" s="219" t="s">
        <v>225</v>
      </c>
      <c r="C19" s="219"/>
      <c r="D19" s="219">
        <f>C6*D6+C7*D7+C8*D8+C9*D9+C10*D10+C11*D11+C12*D12+C13*D13+C14*D14+C15*D15+C16*D16+C17*D17+C18*D18</f>
        <v>0</v>
      </c>
      <c r="E19" s="219" t="s">
        <v>108</v>
      </c>
      <c r="F19" s="220"/>
      <c r="G19" s="221" t="s">
        <v>218</v>
      </c>
      <c r="H19" s="221"/>
      <c r="I19" s="221">
        <f>SUM(I6:I18)</f>
        <v>0</v>
      </c>
      <c r="J19" s="222" t="s">
        <v>108</v>
      </c>
    </row>
    <row r="20" spans="2:10" ht="18.75" x14ac:dyDescent="0.3">
      <c r="B20" s="219" t="s">
        <v>271</v>
      </c>
      <c r="C20" s="219"/>
      <c r="D20" s="219">
        <f>MAX(D6:D18)</f>
        <v>0</v>
      </c>
      <c r="E20" s="219" t="s">
        <v>108</v>
      </c>
    </row>
    <row r="21" spans="2:10" ht="15.75" thickBot="1" x14ac:dyDescent="0.3"/>
    <row r="22" spans="2:10" ht="26.25" x14ac:dyDescent="0.4">
      <c r="B22" s="223" t="s">
        <v>223</v>
      </c>
      <c r="C22" s="224"/>
      <c r="D22" s="224"/>
      <c r="E22" s="224"/>
      <c r="F22" s="225">
        <f>I19*1.2</f>
        <v>0</v>
      </c>
      <c r="G22" s="224" t="s">
        <v>108</v>
      </c>
      <c r="H22" s="275" t="str">
        <f>IF(D20&gt;F22,"La potencia mínima del inversor no puede ser inferior a la demandada por el máximo consumidor","")</f>
        <v/>
      </c>
      <c r="I22" s="276"/>
    </row>
    <row r="23" spans="2:10" ht="27" thickBot="1" x14ac:dyDescent="0.45">
      <c r="B23" s="226" t="s">
        <v>224</v>
      </c>
      <c r="C23" s="227"/>
      <c r="D23" s="227">
        <f>'4_CÁLCULO PANELES SOLARES'!E10</f>
        <v>12</v>
      </c>
      <c r="E23" s="227" t="s">
        <v>110</v>
      </c>
      <c r="F23" s="227"/>
      <c r="G23" s="227"/>
      <c r="H23" s="277"/>
      <c r="I23" s="278"/>
    </row>
    <row r="25" spans="2:10" x14ac:dyDescent="0.25">
      <c r="B25" s="119" t="s">
        <v>226</v>
      </c>
    </row>
  </sheetData>
  <sheetProtection algorithmName="SHA-512" hashValue="KRVVef2Frt4achjPYqZjeNyfVWYldP9lylRvdrdspi7dA9teRwzZQny/hoEXwe8xLdsKR6VT6C9fEL0nTLuYDw==" saltValue="OLL6RVOaMgWhHIjt97M9kA==" spinCount="100000" sheet="1" objects="1" scenarios="1"/>
  <mergeCells count="1">
    <mergeCell ref="H22:I23"/>
  </mergeCells>
  <hyperlinks>
    <hyperlink ref="L4" r:id="rId1" xr:uid="{00000000-0004-0000-0600-000000000000}"/>
    <hyperlink ref="L3" r:id="rId2" xr:uid="{00000000-0004-0000-0600-000001000000}"/>
  </hyperlinks>
  <pageMargins left="0.7" right="0.7" top="0.75" bottom="0.75" header="0.3" footer="0.3"/>
  <pageSetup paperSize="9" orientation="portrait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AS227"/>
  <sheetViews>
    <sheetView workbookViewId="0">
      <selection activeCell="K5" sqref="K5"/>
    </sheetView>
  </sheetViews>
  <sheetFormatPr baseColWidth="10" defaultColWidth="11" defaultRowHeight="15" x14ac:dyDescent="0.25"/>
  <cols>
    <col min="1" max="1" width="3.7109375" style="228" customWidth="1"/>
    <col min="2" max="2" width="15.140625" style="228" customWidth="1"/>
    <col min="3" max="3" width="11" style="228" customWidth="1"/>
    <col min="4" max="4" width="11" style="228"/>
    <col min="5" max="5" width="12.140625" style="228" customWidth="1"/>
    <col min="6" max="6" width="5" style="228" customWidth="1"/>
    <col min="7" max="7" width="11" style="228"/>
    <col min="8" max="8" width="50" style="228" customWidth="1"/>
    <col min="9" max="9" width="9.85546875" style="228" customWidth="1"/>
    <col min="10" max="16384" width="11" style="228"/>
  </cols>
  <sheetData>
    <row r="2" spans="2:45" ht="26.25" x14ac:dyDescent="0.4">
      <c r="B2" s="279" t="s">
        <v>272</v>
      </c>
      <c r="C2" s="280"/>
      <c r="D2" s="280"/>
      <c r="E2" s="280"/>
      <c r="F2" s="280"/>
      <c r="G2" s="280"/>
      <c r="H2" s="280"/>
      <c r="I2" s="281"/>
    </row>
    <row r="3" spans="2:45" ht="15" customHeight="1" x14ac:dyDescent="0.4">
      <c r="B3" s="229"/>
      <c r="C3" s="229"/>
      <c r="D3" s="229"/>
      <c r="E3" s="229"/>
      <c r="F3" s="229"/>
      <c r="G3" s="229"/>
      <c r="H3" s="229"/>
      <c r="I3" s="229"/>
    </row>
    <row r="4" spans="2:45" ht="26.25" customHeight="1" x14ac:dyDescent="0.25">
      <c r="B4" s="282" t="s">
        <v>276</v>
      </c>
      <c r="C4" s="283"/>
      <c r="D4" s="283"/>
      <c r="E4" s="283"/>
      <c r="F4" s="283"/>
      <c r="G4" s="283"/>
      <c r="H4" s="283"/>
      <c r="I4" s="284"/>
    </row>
    <row r="5" spans="2:45" ht="26.25" customHeight="1" x14ac:dyDescent="0.25">
      <c r="B5" s="285"/>
      <c r="C5" s="286"/>
      <c r="D5" s="286"/>
      <c r="E5" s="286"/>
      <c r="F5" s="286"/>
      <c r="G5" s="286"/>
      <c r="H5" s="286"/>
      <c r="I5" s="287"/>
    </row>
    <row r="6" spans="2:45" ht="15.75" thickBot="1" x14ac:dyDescent="0.3"/>
    <row r="7" spans="2:45" ht="26.25" x14ac:dyDescent="0.4">
      <c r="B7" s="230" t="s">
        <v>116</v>
      </c>
      <c r="C7" s="230"/>
      <c r="D7" s="231"/>
      <c r="E7" s="231"/>
      <c r="F7" s="232"/>
      <c r="G7" s="15"/>
      <c r="H7" s="14" t="s">
        <v>260</v>
      </c>
      <c r="I7" s="14"/>
      <c r="J7" s="15"/>
      <c r="AO7" s="228" t="s">
        <v>123</v>
      </c>
      <c r="AR7" s="228" t="s">
        <v>126</v>
      </c>
    </row>
    <row r="8" spans="2:45" x14ac:dyDescent="0.25">
      <c r="B8" s="233"/>
      <c r="C8" s="234"/>
      <c r="D8" s="234"/>
      <c r="E8" s="234"/>
      <c r="F8" s="235"/>
      <c r="G8" s="15"/>
      <c r="H8" s="15" t="s">
        <v>252</v>
      </c>
      <c r="I8" s="16" t="s">
        <v>253</v>
      </c>
      <c r="J8" s="15"/>
      <c r="AN8" s="228">
        <v>1</v>
      </c>
      <c r="AO8" s="228">
        <v>1.5</v>
      </c>
      <c r="AR8" s="228">
        <v>1</v>
      </c>
      <c r="AS8" s="228">
        <v>1.5</v>
      </c>
    </row>
    <row r="9" spans="2:45" x14ac:dyDescent="0.25">
      <c r="B9" s="233" t="s">
        <v>117</v>
      </c>
      <c r="C9" s="236">
        <v>1</v>
      </c>
      <c r="D9" s="234" t="s">
        <v>269</v>
      </c>
      <c r="E9" s="234"/>
      <c r="F9" s="235"/>
      <c r="G9" s="15"/>
      <c r="H9" s="15" t="s">
        <v>265</v>
      </c>
      <c r="I9" s="16" t="s">
        <v>253</v>
      </c>
      <c r="J9" s="15"/>
      <c r="AN9" s="228">
        <v>2</v>
      </c>
      <c r="AO9" s="228">
        <v>2.5</v>
      </c>
      <c r="AR9" s="228">
        <v>2</v>
      </c>
      <c r="AS9" s="228">
        <v>1.5</v>
      </c>
    </row>
    <row r="10" spans="2:45" x14ac:dyDescent="0.25">
      <c r="B10" s="233" t="s">
        <v>118</v>
      </c>
      <c r="C10" s="234" t="s">
        <v>119</v>
      </c>
      <c r="D10" s="234">
        <v>56</v>
      </c>
      <c r="E10" s="237" t="s">
        <v>275</v>
      </c>
      <c r="F10" s="235"/>
      <c r="G10" s="15"/>
      <c r="H10" s="15"/>
      <c r="I10" s="15"/>
      <c r="J10" s="15"/>
      <c r="AN10" s="228">
        <v>3</v>
      </c>
      <c r="AO10" s="228">
        <v>4</v>
      </c>
      <c r="AR10" s="228">
        <v>3</v>
      </c>
      <c r="AS10" s="228">
        <v>1.5</v>
      </c>
    </row>
    <row r="11" spans="2:45" x14ac:dyDescent="0.25">
      <c r="B11" s="233" t="s">
        <v>113</v>
      </c>
      <c r="C11" s="238">
        <f>'4_CÁLCULO PANELES SOLARES'!G29</f>
        <v>1.6800000000000002</v>
      </c>
      <c r="D11" s="234" t="s">
        <v>112</v>
      </c>
      <c r="E11" s="234"/>
      <c r="F11" s="235"/>
      <c r="AN11" s="228">
        <v>4</v>
      </c>
      <c r="AO11" s="228">
        <v>4</v>
      </c>
      <c r="AR11" s="228">
        <v>4</v>
      </c>
      <c r="AS11" s="228">
        <v>1.5</v>
      </c>
    </row>
    <row r="12" spans="2:45" x14ac:dyDescent="0.25">
      <c r="B12" s="233" t="s">
        <v>120</v>
      </c>
      <c r="C12" s="238">
        <v>3</v>
      </c>
      <c r="D12" s="234" t="s">
        <v>111</v>
      </c>
      <c r="E12" s="234">
        <f>C12*C13/100</f>
        <v>0.36</v>
      </c>
      <c r="F12" s="235" t="s">
        <v>110</v>
      </c>
      <c r="AN12" s="228">
        <v>5</v>
      </c>
      <c r="AO12" s="228">
        <v>6</v>
      </c>
      <c r="AR12" s="228">
        <v>5</v>
      </c>
      <c r="AS12" s="228">
        <v>1.5</v>
      </c>
    </row>
    <row r="13" spans="2:45" x14ac:dyDescent="0.25">
      <c r="B13" s="233" t="s">
        <v>115</v>
      </c>
      <c r="C13" s="234">
        <f>'4_CÁLCULO PANELES SOLARES'!E10</f>
        <v>12</v>
      </c>
      <c r="D13" s="234"/>
      <c r="E13" s="234"/>
      <c r="F13" s="235"/>
      <c r="AL13" s="239" t="s">
        <v>124</v>
      </c>
      <c r="AM13" s="240">
        <f>(2*C9*C11)/(D10*E12)</f>
        <v>0.16666666666666669</v>
      </c>
      <c r="AN13" s="228">
        <v>6</v>
      </c>
      <c r="AO13" s="228">
        <v>6</v>
      </c>
      <c r="AR13" s="228">
        <v>6</v>
      </c>
      <c r="AS13" s="228">
        <v>1.5</v>
      </c>
    </row>
    <row r="14" spans="2:45" x14ac:dyDescent="0.25">
      <c r="B14" s="233"/>
      <c r="C14" s="234"/>
      <c r="D14" s="234"/>
      <c r="E14" s="234"/>
      <c r="F14" s="235"/>
      <c r="AL14" s="241"/>
      <c r="AM14" s="242">
        <f>ROUNDUP(AM13,0)</f>
        <v>1</v>
      </c>
      <c r="AN14" s="228">
        <v>7</v>
      </c>
      <c r="AO14" s="228">
        <v>10</v>
      </c>
      <c r="AR14" s="228">
        <v>7</v>
      </c>
      <c r="AS14" s="228">
        <v>1.5</v>
      </c>
    </row>
    <row r="15" spans="2:45" ht="21" x14ac:dyDescent="0.35">
      <c r="B15" s="243" t="s">
        <v>121</v>
      </c>
      <c r="C15" s="244">
        <f>IF(AM15&gt;AM18,AM15,AM18)</f>
        <v>1.5</v>
      </c>
      <c r="D15" s="244" t="s">
        <v>122</v>
      </c>
      <c r="E15" s="234"/>
      <c r="F15" s="235"/>
      <c r="AL15" s="245"/>
      <c r="AM15" s="246">
        <f>VLOOKUP(AM14,AN8:AO157,2)</f>
        <v>1.5</v>
      </c>
      <c r="AN15" s="228">
        <v>8</v>
      </c>
      <c r="AO15" s="228">
        <v>10</v>
      </c>
      <c r="AR15" s="228">
        <v>8</v>
      </c>
      <c r="AS15" s="228">
        <v>1.5</v>
      </c>
    </row>
    <row r="16" spans="2:45" ht="15.75" thickBot="1" x14ac:dyDescent="0.3">
      <c r="B16" s="247"/>
      <c r="C16" s="248"/>
      <c r="D16" s="248"/>
      <c r="E16" s="248"/>
      <c r="F16" s="249"/>
      <c r="AN16" s="228">
        <v>9</v>
      </c>
      <c r="AO16" s="228">
        <v>10</v>
      </c>
      <c r="AR16" s="228">
        <v>9</v>
      </c>
      <c r="AS16" s="228">
        <v>1.5</v>
      </c>
    </row>
    <row r="17" spans="2:45" ht="15.75" thickBot="1" x14ac:dyDescent="0.3">
      <c r="AL17" s="239" t="s">
        <v>125</v>
      </c>
      <c r="AM17" s="240">
        <f>ROUNDUP(C11,0)</f>
        <v>2</v>
      </c>
      <c r="AN17" s="228">
        <v>10</v>
      </c>
      <c r="AO17" s="228">
        <v>10</v>
      </c>
      <c r="AR17" s="228">
        <v>10</v>
      </c>
      <c r="AS17" s="228">
        <v>1.5</v>
      </c>
    </row>
    <row r="18" spans="2:45" ht="26.25" x14ac:dyDescent="0.4">
      <c r="B18" s="230" t="s">
        <v>273</v>
      </c>
      <c r="C18" s="230"/>
      <c r="D18" s="231"/>
      <c r="E18" s="231"/>
      <c r="F18" s="232"/>
      <c r="AL18" s="245"/>
      <c r="AM18" s="250">
        <f>VLOOKUP(AM17,AR8:AS227,2)</f>
        <v>1.5</v>
      </c>
      <c r="AN18" s="228">
        <v>11</v>
      </c>
      <c r="AO18" s="228">
        <v>16</v>
      </c>
      <c r="AR18" s="228">
        <v>11</v>
      </c>
      <c r="AS18" s="228">
        <v>1.5</v>
      </c>
    </row>
    <row r="19" spans="2:45" x14ac:dyDescent="0.25">
      <c r="B19" s="233"/>
      <c r="C19" s="234"/>
      <c r="D19" s="234"/>
      <c r="E19" s="234"/>
      <c r="F19" s="235"/>
      <c r="AN19" s="228">
        <v>12</v>
      </c>
      <c r="AO19" s="228">
        <v>16</v>
      </c>
      <c r="AR19" s="228">
        <v>12</v>
      </c>
      <c r="AS19" s="228">
        <v>1.5</v>
      </c>
    </row>
    <row r="20" spans="2:45" x14ac:dyDescent="0.25">
      <c r="B20" s="233" t="s">
        <v>117</v>
      </c>
      <c r="C20" s="238">
        <v>1</v>
      </c>
      <c r="D20" s="234" t="s">
        <v>269</v>
      </c>
      <c r="E20" s="234"/>
      <c r="F20" s="235"/>
      <c r="AN20" s="228">
        <v>13</v>
      </c>
      <c r="AO20" s="228">
        <v>16</v>
      </c>
      <c r="AR20" s="228">
        <v>13</v>
      </c>
      <c r="AS20" s="228">
        <v>2.5</v>
      </c>
    </row>
    <row r="21" spans="2:45" x14ac:dyDescent="0.25">
      <c r="B21" s="233" t="s">
        <v>118</v>
      </c>
      <c r="C21" s="234" t="s">
        <v>119</v>
      </c>
      <c r="D21" s="234">
        <v>56</v>
      </c>
      <c r="E21" s="237" t="s">
        <v>275</v>
      </c>
      <c r="F21" s="235"/>
      <c r="AL21" s="239" t="s">
        <v>124</v>
      </c>
      <c r="AM21" s="240">
        <f>(2*C20*C22)/(D21*E23)</f>
        <v>0.50000000000000011</v>
      </c>
      <c r="AN21" s="228">
        <v>14</v>
      </c>
      <c r="AO21" s="228">
        <v>16</v>
      </c>
      <c r="AR21" s="228">
        <v>14</v>
      </c>
      <c r="AS21" s="228">
        <v>2.5</v>
      </c>
    </row>
    <row r="22" spans="2:45" x14ac:dyDescent="0.25">
      <c r="B22" s="233" t="s">
        <v>113</v>
      </c>
      <c r="C22" s="251">
        <f>C11</f>
        <v>1.6800000000000002</v>
      </c>
      <c r="D22" s="234" t="s">
        <v>112</v>
      </c>
      <c r="E22" s="234"/>
      <c r="F22" s="235"/>
      <c r="AL22" s="241"/>
      <c r="AM22" s="242">
        <f>ROUNDUP(AM21,0)</f>
        <v>1</v>
      </c>
      <c r="AN22" s="228">
        <v>15</v>
      </c>
      <c r="AO22" s="228">
        <v>16</v>
      </c>
      <c r="AR22" s="228">
        <v>15</v>
      </c>
      <c r="AS22" s="228">
        <v>2.5</v>
      </c>
    </row>
    <row r="23" spans="2:45" ht="21" x14ac:dyDescent="0.35">
      <c r="B23" s="233" t="s">
        <v>120</v>
      </c>
      <c r="C23" s="238">
        <v>1</v>
      </c>
      <c r="D23" s="234" t="s">
        <v>111</v>
      </c>
      <c r="E23" s="234">
        <f>C24*C23/100</f>
        <v>0.12</v>
      </c>
      <c r="F23" s="235" t="s">
        <v>110</v>
      </c>
      <c r="AL23" s="245"/>
      <c r="AM23" s="246">
        <f>VLOOKUP(AM22,AN8:AO157,2)</f>
        <v>1.5</v>
      </c>
      <c r="AN23" s="228">
        <v>16</v>
      </c>
      <c r="AO23" s="228">
        <v>16</v>
      </c>
      <c r="AR23" s="228">
        <v>16</v>
      </c>
      <c r="AS23" s="228">
        <v>2.5</v>
      </c>
    </row>
    <row r="24" spans="2:45" x14ac:dyDescent="0.25">
      <c r="B24" s="233" t="s">
        <v>115</v>
      </c>
      <c r="C24" s="234">
        <f>C13</f>
        <v>12</v>
      </c>
      <c r="D24" s="234"/>
      <c r="E24" s="234"/>
      <c r="F24" s="235"/>
      <c r="AN24" s="228">
        <v>17</v>
      </c>
      <c r="AO24" s="228">
        <v>25</v>
      </c>
      <c r="AR24" s="228">
        <v>17</v>
      </c>
      <c r="AS24" s="228">
        <v>2.5</v>
      </c>
    </row>
    <row r="25" spans="2:45" x14ac:dyDescent="0.25">
      <c r="B25" s="233"/>
      <c r="C25" s="234"/>
      <c r="D25" s="234"/>
      <c r="E25" s="234"/>
      <c r="F25" s="235"/>
      <c r="AL25" s="239" t="s">
        <v>125</v>
      </c>
      <c r="AM25" s="240">
        <f>ROUNDUP(C22,0)</f>
        <v>2</v>
      </c>
      <c r="AN25" s="228">
        <v>18</v>
      </c>
      <c r="AO25" s="228">
        <v>25</v>
      </c>
      <c r="AR25" s="228">
        <v>18</v>
      </c>
      <c r="AS25" s="228">
        <v>4</v>
      </c>
    </row>
    <row r="26" spans="2:45" ht="21" x14ac:dyDescent="0.35">
      <c r="B26" s="243" t="s">
        <v>121</v>
      </c>
      <c r="C26" s="244">
        <f>IF(AM23&gt;AM26,AM23,AM26)</f>
        <v>1.5</v>
      </c>
      <c r="D26" s="244" t="s">
        <v>122</v>
      </c>
      <c r="E26" s="234"/>
      <c r="F26" s="235"/>
      <c r="AL26" s="245"/>
      <c r="AM26" s="250">
        <f>VLOOKUP(AM25,AR8:AS227,2)</f>
        <v>1.5</v>
      </c>
      <c r="AN26" s="228">
        <v>19</v>
      </c>
      <c r="AO26" s="228">
        <v>25</v>
      </c>
      <c r="AR26" s="228">
        <v>19</v>
      </c>
      <c r="AS26" s="228">
        <v>4</v>
      </c>
    </row>
    <row r="27" spans="2:45" ht="15.75" thickBot="1" x14ac:dyDescent="0.3">
      <c r="B27" s="247"/>
      <c r="C27" s="248"/>
      <c r="D27" s="248"/>
      <c r="E27" s="248"/>
      <c r="F27" s="249"/>
      <c r="AN27" s="228">
        <v>20</v>
      </c>
      <c r="AO27" s="228">
        <v>25</v>
      </c>
      <c r="AR27" s="228">
        <v>20</v>
      </c>
      <c r="AS27" s="228">
        <v>4</v>
      </c>
    </row>
    <row r="28" spans="2:45" ht="15.75" thickBot="1" x14ac:dyDescent="0.3">
      <c r="AN28" s="228">
        <v>21</v>
      </c>
      <c r="AO28" s="228">
        <v>25</v>
      </c>
      <c r="AR28" s="228">
        <v>21</v>
      </c>
      <c r="AS28" s="228">
        <v>4</v>
      </c>
    </row>
    <row r="29" spans="2:45" ht="26.25" x14ac:dyDescent="0.4">
      <c r="B29" s="230" t="s">
        <v>274</v>
      </c>
      <c r="C29" s="230"/>
      <c r="D29" s="231"/>
      <c r="E29" s="231"/>
      <c r="F29" s="232"/>
      <c r="AN29" s="228">
        <v>22</v>
      </c>
      <c r="AO29" s="228">
        <v>25</v>
      </c>
      <c r="AR29" s="228">
        <v>22</v>
      </c>
      <c r="AS29" s="228">
        <v>4</v>
      </c>
    </row>
    <row r="30" spans="2:45" x14ac:dyDescent="0.25">
      <c r="B30" s="233"/>
      <c r="C30" s="234"/>
      <c r="D30" s="234"/>
      <c r="E30" s="234"/>
      <c r="F30" s="235"/>
      <c r="AN30" s="228">
        <v>23</v>
      </c>
      <c r="AO30" s="228">
        <v>25</v>
      </c>
      <c r="AR30" s="228">
        <v>23</v>
      </c>
      <c r="AS30" s="228">
        <v>4</v>
      </c>
    </row>
    <row r="31" spans="2:45" x14ac:dyDescent="0.25">
      <c r="B31" s="233" t="s">
        <v>117</v>
      </c>
      <c r="C31" s="238">
        <v>2</v>
      </c>
      <c r="D31" s="234" t="s">
        <v>269</v>
      </c>
      <c r="E31" s="234"/>
      <c r="F31" s="235"/>
      <c r="AN31" s="228">
        <v>24</v>
      </c>
      <c r="AO31" s="228">
        <v>25</v>
      </c>
      <c r="AR31" s="228">
        <v>24</v>
      </c>
      <c r="AS31" s="228">
        <v>6</v>
      </c>
    </row>
    <row r="32" spans="2:45" x14ac:dyDescent="0.25">
      <c r="B32" s="233" t="s">
        <v>118</v>
      </c>
      <c r="C32" s="234" t="s">
        <v>119</v>
      </c>
      <c r="D32" s="234">
        <v>56</v>
      </c>
      <c r="E32" s="237" t="s">
        <v>275</v>
      </c>
      <c r="F32" s="235"/>
      <c r="AL32" s="239" t="s">
        <v>124</v>
      </c>
      <c r="AM32" s="240">
        <f>(2*C31*C33)/(D32*E34)</f>
        <v>0</v>
      </c>
      <c r="AN32" s="228">
        <v>25</v>
      </c>
      <c r="AO32" s="228">
        <v>25</v>
      </c>
      <c r="AR32" s="228">
        <v>25</v>
      </c>
      <c r="AS32" s="228">
        <v>6</v>
      </c>
    </row>
    <row r="33" spans="2:45" x14ac:dyDescent="0.25">
      <c r="B33" s="233" t="s">
        <v>113</v>
      </c>
      <c r="C33" s="251">
        <f>'7_INVERSOR'!F22/'4_CÁLCULO PANELES SOLARES'!E10</f>
        <v>0</v>
      </c>
      <c r="D33" s="234" t="s">
        <v>112</v>
      </c>
      <c r="E33" s="234"/>
      <c r="F33" s="235"/>
      <c r="AL33" s="241"/>
      <c r="AM33" s="242">
        <f>ROUNDUP(AM32,0)</f>
        <v>0</v>
      </c>
      <c r="AN33" s="228">
        <v>26</v>
      </c>
      <c r="AO33" s="228">
        <v>35</v>
      </c>
      <c r="AR33" s="228">
        <v>26</v>
      </c>
      <c r="AS33" s="228">
        <v>6</v>
      </c>
    </row>
    <row r="34" spans="2:45" ht="15" customHeight="1" x14ac:dyDescent="0.35">
      <c r="B34" s="233" t="s">
        <v>120</v>
      </c>
      <c r="C34" s="238">
        <v>1</v>
      </c>
      <c r="D34" s="234" t="s">
        <v>111</v>
      </c>
      <c r="E34" s="234">
        <f>C35*C34/100</f>
        <v>0.12</v>
      </c>
      <c r="F34" s="235" t="s">
        <v>110</v>
      </c>
      <c r="AL34" s="245"/>
      <c r="AM34" s="246" t="e">
        <f>VLOOKUP(AM33,AN8:AO157,2)</f>
        <v>#N/A</v>
      </c>
      <c r="AN34" s="228">
        <v>27</v>
      </c>
      <c r="AO34" s="228">
        <v>35</v>
      </c>
      <c r="AR34" s="228">
        <v>27</v>
      </c>
      <c r="AS34" s="228">
        <v>6</v>
      </c>
    </row>
    <row r="35" spans="2:45" x14ac:dyDescent="0.25">
      <c r="B35" s="233" t="s">
        <v>115</v>
      </c>
      <c r="C35" s="234">
        <f>C24</f>
        <v>12</v>
      </c>
      <c r="D35" s="234"/>
      <c r="E35" s="234"/>
      <c r="F35" s="235"/>
      <c r="AN35" s="228">
        <v>28</v>
      </c>
      <c r="AO35" s="228">
        <v>35</v>
      </c>
      <c r="AR35" s="228">
        <v>28</v>
      </c>
      <c r="AS35" s="228">
        <v>6</v>
      </c>
    </row>
    <row r="36" spans="2:45" x14ac:dyDescent="0.25">
      <c r="B36" s="233"/>
      <c r="C36" s="234"/>
      <c r="D36" s="234"/>
      <c r="E36" s="234"/>
      <c r="F36" s="235"/>
      <c r="AL36" s="239" t="s">
        <v>125</v>
      </c>
      <c r="AM36" s="240">
        <f>ROUNDUP(C33,0)</f>
        <v>0</v>
      </c>
      <c r="AN36" s="228">
        <v>29</v>
      </c>
      <c r="AO36" s="228">
        <v>35</v>
      </c>
      <c r="AR36" s="228">
        <v>29</v>
      </c>
      <c r="AS36" s="228">
        <v>6</v>
      </c>
    </row>
    <row r="37" spans="2:45" ht="21" x14ac:dyDescent="0.35">
      <c r="B37" s="243" t="s">
        <v>121</v>
      </c>
      <c r="C37" s="244" t="e">
        <f>IF(AM34&gt;AM37,AM34,AM37)</f>
        <v>#N/A</v>
      </c>
      <c r="D37" s="244" t="s">
        <v>122</v>
      </c>
      <c r="E37" s="234"/>
      <c r="F37" s="235"/>
      <c r="AL37" s="245"/>
      <c r="AM37" s="250" t="e">
        <f>VLOOKUP(AM36,AR8:AS227,2)</f>
        <v>#N/A</v>
      </c>
      <c r="AN37" s="228">
        <v>30</v>
      </c>
      <c r="AO37" s="228">
        <v>35</v>
      </c>
      <c r="AR37" s="228">
        <v>30</v>
      </c>
      <c r="AS37" s="228">
        <v>10</v>
      </c>
    </row>
    <row r="38" spans="2:45" ht="15.75" thickBot="1" x14ac:dyDescent="0.3">
      <c r="B38" s="247"/>
      <c r="C38" s="248"/>
      <c r="D38" s="248"/>
      <c r="E38" s="248"/>
      <c r="F38" s="249"/>
      <c r="AN38" s="228">
        <v>31</v>
      </c>
      <c r="AO38" s="228">
        <v>35</v>
      </c>
      <c r="AR38" s="228">
        <v>31</v>
      </c>
      <c r="AS38" s="228">
        <v>10</v>
      </c>
    </row>
    <row r="39" spans="2:45" x14ac:dyDescent="0.25">
      <c r="AN39" s="228">
        <v>32</v>
      </c>
      <c r="AO39" s="228">
        <v>35</v>
      </c>
      <c r="AR39" s="228">
        <v>32</v>
      </c>
      <c r="AS39" s="228">
        <v>10</v>
      </c>
    </row>
    <row r="40" spans="2:45" x14ac:dyDescent="0.25">
      <c r="AN40" s="228">
        <v>33</v>
      </c>
      <c r="AO40" s="228">
        <v>35</v>
      </c>
      <c r="AR40" s="228">
        <v>33</v>
      </c>
      <c r="AS40" s="228">
        <v>10</v>
      </c>
    </row>
    <row r="41" spans="2:45" x14ac:dyDescent="0.25">
      <c r="AN41" s="228">
        <v>34</v>
      </c>
      <c r="AO41" s="228">
        <v>35</v>
      </c>
      <c r="AR41" s="228">
        <v>34</v>
      </c>
      <c r="AS41" s="228">
        <v>10</v>
      </c>
    </row>
    <row r="42" spans="2:45" x14ac:dyDescent="0.25">
      <c r="AN42" s="228">
        <v>35</v>
      </c>
      <c r="AO42" s="228">
        <v>35</v>
      </c>
      <c r="AR42" s="228">
        <v>35</v>
      </c>
      <c r="AS42" s="228">
        <v>10</v>
      </c>
    </row>
    <row r="43" spans="2:45" x14ac:dyDescent="0.25">
      <c r="AN43" s="228">
        <v>36</v>
      </c>
      <c r="AO43" s="228">
        <v>50</v>
      </c>
      <c r="AR43" s="228">
        <v>36</v>
      </c>
      <c r="AS43" s="228">
        <v>10</v>
      </c>
    </row>
    <row r="44" spans="2:45" x14ac:dyDescent="0.25">
      <c r="AN44" s="228">
        <v>37</v>
      </c>
      <c r="AO44" s="228">
        <v>50</v>
      </c>
      <c r="AR44" s="228">
        <v>37</v>
      </c>
      <c r="AS44" s="228">
        <v>10</v>
      </c>
    </row>
    <row r="45" spans="2:45" x14ac:dyDescent="0.25">
      <c r="AN45" s="228">
        <v>38</v>
      </c>
      <c r="AO45" s="228">
        <v>50</v>
      </c>
      <c r="AR45" s="228">
        <v>38</v>
      </c>
      <c r="AS45" s="228">
        <v>10</v>
      </c>
    </row>
    <row r="46" spans="2:45" x14ac:dyDescent="0.25">
      <c r="AN46" s="228">
        <v>39</v>
      </c>
      <c r="AO46" s="228">
        <v>50</v>
      </c>
      <c r="AR46" s="228">
        <v>39</v>
      </c>
      <c r="AS46" s="228">
        <v>10</v>
      </c>
    </row>
    <row r="47" spans="2:45" x14ac:dyDescent="0.25">
      <c r="AN47" s="228">
        <v>40</v>
      </c>
      <c r="AO47" s="228">
        <v>50</v>
      </c>
      <c r="AR47" s="228">
        <v>40</v>
      </c>
      <c r="AS47" s="228">
        <v>10</v>
      </c>
    </row>
    <row r="48" spans="2:45" x14ac:dyDescent="0.25">
      <c r="AN48" s="228">
        <v>41</v>
      </c>
      <c r="AO48" s="228">
        <v>50</v>
      </c>
      <c r="AR48" s="228">
        <v>41</v>
      </c>
      <c r="AS48" s="228">
        <v>16</v>
      </c>
    </row>
    <row r="49" spans="40:45" x14ac:dyDescent="0.25">
      <c r="AN49" s="228">
        <v>42</v>
      </c>
      <c r="AO49" s="228">
        <v>50</v>
      </c>
      <c r="AR49" s="228">
        <v>42</v>
      </c>
      <c r="AS49" s="228">
        <v>16</v>
      </c>
    </row>
    <row r="50" spans="40:45" x14ac:dyDescent="0.25">
      <c r="AN50" s="228">
        <v>43</v>
      </c>
      <c r="AO50" s="228">
        <v>50</v>
      </c>
      <c r="AR50" s="228">
        <v>43</v>
      </c>
      <c r="AS50" s="228">
        <v>16</v>
      </c>
    </row>
    <row r="51" spans="40:45" x14ac:dyDescent="0.25">
      <c r="AN51" s="228">
        <v>44</v>
      </c>
      <c r="AO51" s="228">
        <v>50</v>
      </c>
      <c r="AR51" s="228">
        <v>44</v>
      </c>
      <c r="AS51" s="228">
        <v>16</v>
      </c>
    </row>
    <row r="52" spans="40:45" x14ac:dyDescent="0.25">
      <c r="AN52" s="228">
        <v>45</v>
      </c>
      <c r="AO52" s="228">
        <v>50</v>
      </c>
      <c r="AR52" s="228">
        <v>45</v>
      </c>
      <c r="AS52" s="228">
        <v>16</v>
      </c>
    </row>
    <row r="53" spans="40:45" x14ac:dyDescent="0.25">
      <c r="AN53" s="228">
        <v>46</v>
      </c>
      <c r="AO53" s="228">
        <v>50</v>
      </c>
      <c r="AR53" s="228">
        <v>46</v>
      </c>
      <c r="AS53" s="228">
        <v>16</v>
      </c>
    </row>
    <row r="54" spans="40:45" x14ac:dyDescent="0.25">
      <c r="AN54" s="228">
        <v>47</v>
      </c>
      <c r="AO54" s="228">
        <v>50</v>
      </c>
      <c r="AR54" s="228">
        <v>47</v>
      </c>
      <c r="AS54" s="228">
        <v>16</v>
      </c>
    </row>
    <row r="55" spans="40:45" x14ac:dyDescent="0.25">
      <c r="AN55" s="228">
        <v>48</v>
      </c>
      <c r="AO55" s="228">
        <v>50</v>
      </c>
      <c r="AR55" s="228">
        <v>48</v>
      </c>
      <c r="AS55" s="228">
        <v>16</v>
      </c>
    </row>
    <row r="56" spans="40:45" x14ac:dyDescent="0.25">
      <c r="AN56" s="228">
        <v>49</v>
      </c>
      <c r="AO56" s="228">
        <v>50</v>
      </c>
      <c r="AR56" s="228">
        <v>49</v>
      </c>
      <c r="AS56" s="228">
        <v>16</v>
      </c>
    </row>
    <row r="57" spans="40:45" x14ac:dyDescent="0.25">
      <c r="AN57" s="228">
        <v>50</v>
      </c>
      <c r="AO57" s="228">
        <v>50</v>
      </c>
      <c r="AR57" s="228">
        <v>50</v>
      </c>
      <c r="AS57" s="228">
        <v>16</v>
      </c>
    </row>
    <row r="58" spans="40:45" x14ac:dyDescent="0.25">
      <c r="AN58" s="228">
        <v>51</v>
      </c>
      <c r="AO58" s="228">
        <v>70</v>
      </c>
      <c r="AR58" s="228">
        <v>51</v>
      </c>
      <c r="AS58" s="228">
        <v>16</v>
      </c>
    </row>
    <row r="59" spans="40:45" x14ac:dyDescent="0.25">
      <c r="AN59" s="228">
        <v>52</v>
      </c>
      <c r="AO59" s="228">
        <v>70</v>
      </c>
      <c r="AR59" s="228">
        <v>52</v>
      </c>
      <c r="AS59" s="228">
        <v>16</v>
      </c>
    </row>
    <row r="60" spans="40:45" x14ac:dyDescent="0.25">
      <c r="AN60" s="228">
        <v>53</v>
      </c>
      <c r="AO60" s="228">
        <v>70</v>
      </c>
      <c r="AR60" s="228">
        <v>53</v>
      </c>
      <c r="AS60" s="228">
        <v>16</v>
      </c>
    </row>
    <row r="61" spans="40:45" x14ac:dyDescent="0.25">
      <c r="AN61" s="228">
        <v>54</v>
      </c>
      <c r="AO61" s="228">
        <v>70</v>
      </c>
      <c r="AR61" s="228">
        <v>54</v>
      </c>
      <c r="AS61" s="228">
        <v>16</v>
      </c>
    </row>
    <row r="62" spans="40:45" x14ac:dyDescent="0.25">
      <c r="AN62" s="228">
        <v>55</v>
      </c>
      <c r="AO62" s="228">
        <v>70</v>
      </c>
      <c r="AR62" s="228">
        <v>55</v>
      </c>
      <c r="AS62" s="228">
        <v>25</v>
      </c>
    </row>
    <row r="63" spans="40:45" x14ac:dyDescent="0.25">
      <c r="AN63" s="228">
        <v>56</v>
      </c>
      <c r="AO63" s="228">
        <v>70</v>
      </c>
      <c r="AR63" s="228">
        <v>56</v>
      </c>
      <c r="AS63" s="228">
        <v>25</v>
      </c>
    </row>
    <row r="64" spans="40:45" x14ac:dyDescent="0.25">
      <c r="AN64" s="228">
        <v>57</v>
      </c>
      <c r="AO64" s="228">
        <v>70</v>
      </c>
      <c r="AR64" s="228">
        <v>57</v>
      </c>
      <c r="AS64" s="228">
        <v>25</v>
      </c>
    </row>
    <row r="65" spans="40:45" x14ac:dyDescent="0.25">
      <c r="AN65" s="228">
        <v>58</v>
      </c>
      <c r="AO65" s="228">
        <v>70</v>
      </c>
      <c r="AR65" s="228">
        <v>58</v>
      </c>
      <c r="AS65" s="228">
        <v>25</v>
      </c>
    </row>
    <row r="66" spans="40:45" x14ac:dyDescent="0.25">
      <c r="AN66" s="228">
        <v>59</v>
      </c>
      <c r="AO66" s="228">
        <v>70</v>
      </c>
      <c r="AR66" s="228">
        <v>59</v>
      </c>
      <c r="AS66" s="228">
        <v>25</v>
      </c>
    </row>
    <row r="67" spans="40:45" x14ac:dyDescent="0.25">
      <c r="AN67" s="228">
        <v>60</v>
      </c>
      <c r="AO67" s="228">
        <v>70</v>
      </c>
      <c r="AR67" s="228">
        <v>60</v>
      </c>
      <c r="AS67" s="228">
        <v>25</v>
      </c>
    </row>
    <row r="68" spans="40:45" x14ac:dyDescent="0.25">
      <c r="AN68" s="228">
        <v>61</v>
      </c>
      <c r="AO68" s="228">
        <v>70</v>
      </c>
      <c r="AR68" s="228">
        <v>61</v>
      </c>
      <c r="AS68" s="228">
        <v>25</v>
      </c>
    </row>
    <row r="69" spans="40:45" x14ac:dyDescent="0.25">
      <c r="AN69" s="228">
        <v>62</v>
      </c>
      <c r="AO69" s="228">
        <v>70</v>
      </c>
      <c r="AR69" s="228">
        <v>62</v>
      </c>
      <c r="AS69" s="228">
        <v>25</v>
      </c>
    </row>
    <row r="70" spans="40:45" x14ac:dyDescent="0.25">
      <c r="AN70" s="228">
        <v>63</v>
      </c>
      <c r="AO70" s="228">
        <v>70</v>
      </c>
      <c r="AR70" s="228">
        <v>63</v>
      </c>
      <c r="AS70" s="228">
        <v>25</v>
      </c>
    </row>
    <row r="71" spans="40:45" x14ac:dyDescent="0.25">
      <c r="AN71" s="228">
        <v>64</v>
      </c>
      <c r="AO71" s="228">
        <v>70</v>
      </c>
      <c r="AR71" s="228">
        <v>64</v>
      </c>
      <c r="AS71" s="228">
        <v>25</v>
      </c>
    </row>
    <row r="72" spans="40:45" x14ac:dyDescent="0.25">
      <c r="AN72" s="228">
        <v>65</v>
      </c>
      <c r="AO72" s="228">
        <v>70</v>
      </c>
      <c r="AR72" s="228">
        <v>65</v>
      </c>
      <c r="AS72" s="228">
        <v>25</v>
      </c>
    </row>
    <row r="73" spans="40:45" x14ac:dyDescent="0.25">
      <c r="AN73" s="228">
        <v>66</v>
      </c>
      <c r="AO73" s="228">
        <v>70</v>
      </c>
      <c r="AR73" s="228">
        <v>66</v>
      </c>
      <c r="AS73" s="228">
        <v>25</v>
      </c>
    </row>
    <row r="74" spans="40:45" x14ac:dyDescent="0.25">
      <c r="AN74" s="228">
        <v>67</v>
      </c>
      <c r="AO74" s="228">
        <v>70</v>
      </c>
      <c r="AR74" s="228">
        <v>67</v>
      </c>
      <c r="AS74" s="228">
        <v>25</v>
      </c>
    </row>
    <row r="75" spans="40:45" x14ac:dyDescent="0.25">
      <c r="AN75" s="228">
        <v>68</v>
      </c>
      <c r="AO75" s="228">
        <v>70</v>
      </c>
      <c r="AR75" s="228">
        <v>68</v>
      </c>
      <c r="AS75" s="228">
        <v>25</v>
      </c>
    </row>
    <row r="76" spans="40:45" x14ac:dyDescent="0.25">
      <c r="AN76" s="228">
        <v>69</v>
      </c>
      <c r="AO76" s="228">
        <v>70</v>
      </c>
      <c r="AR76" s="228">
        <v>69</v>
      </c>
      <c r="AS76" s="228">
        <v>25</v>
      </c>
    </row>
    <row r="77" spans="40:45" x14ac:dyDescent="0.25">
      <c r="AN77" s="228">
        <v>70</v>
      </c>
      <c r="AO77" s="228">
        <v>70</v>
      </c>
      <c r="AR77" s="228">
        <v>70</v>
      </c>
      <c r="AS77" s="228">
        <v>25</v>
      </c>
    </row>
    <row r="78" spans="40:45" x14ac:dyDescent="0.25">
      <c r="AN78" s="228">
        <v>71</v>
      </c>
      <c r="AO78" s="228">
        <v>95</v>
      </c>
      <c r="AR78" s="228">
        <v>71</v>
      </c>
      <c r="AS78" s="228">
        <v>25</v>
      </c>
    </row>
    <row r="79" spans="40:45" x14ac:dyDescent="0.25">
      <c r="AN79" s="228">
        <v>72</v>
      </c>
      <c r="AO79" s="228">
        <v>95</v>
      </c>
      <c r="AR79" s="228">
        <v>72</v>
      </c>
      <c r="AS79" s="228">
        <v>35</v>
      </c>
    </row>
    <row r="80" spans="40:45" x14ac:dyDescent="0.25">
      <c r="AN80" s="228">
        <v>73</v>
      </c>
      <c r="AO80" s="228">
        <v>95</v>
      </c>
      <c r="AR80" s="228">
        <v>73</v>
      </c>
      <c r="AS80" s="228">
        <v>35</v>
      </c>
    </row>
    <row r="81" spans="40:45" x14ac:dyDescent="0.25">
      <c r="AN81" s="228">
        <v>74</v>
      </c>
      <c r="AO81" s="228">
        <v>95</v>
      </c>
      <c r="AR81" s="228">
        <v>74</v>
      </c>
      <c r="AS81" s="228">
        <v>35</v>
      </c>
    </row>
    <row r="82" spans="40:45" x14ac:dyDescent="0.25">
      <c r="AN82" s="228">
        <v>75</v>
      </c>
      <c r="AO82" s="228">
        <v>95</v>
      </c>
      <c r="AR82" s="228">
        <v>75</v>
      </c>
      <c r="AS82" s="228">
        <v>35</v>
      </c>
    </row>
    <row r="83" spans="40:45" x14ac:dyDescent="0.25">
      <c r="AN83" s="228">
        <v>76</v>
      </c>
      <c r="AO83" s="228">
        <v>95</v>
      </c>
      <c r="AR83" s="228">
        <v>76</v>
      </c>
      <c r="AS83" s="228">
        <v>35</v>
      </c>
    </row>
    <row r="84" spans="40:45" x14ac:dyDescent="0.25">
      <c r="AN84" s="228">
        <v>77</v>
      </c>
      <c r="AO84" s="228">
        <v>95</v>
      </c>
      <c r="AR84" s="228">
        <v>77</v>
      </c>
      <c r="AS84" s="228">
        <v>35</v>
      </c>
    </row>
    <row r="85" spans="40:45" x14ac:dyDescent="0.25">
      <c r="AN85" s="228">
        <v>78</v>
      </c>
      <c r="AO85" s="228">
        <v>95</v>
      </c>
      <c r="AR85" s="228">
        <v>78</v>
      </c>
      <c r="AS85" s="228">
        <v>35</v>
      </c>
    </row>
    <row r="86" spans="40:45" x14ac:dyDescent="0.25">
      <c r="AN86" s="228">
        <v>79</v>
      </c>
      <c r="AO86" s="228">
        <v>95</v>
      </c>
      <c r="AR86" s="228">
        <v>79</v>
      </c>
      <c r="AS86" s="228">
        <v>35</v>
      </c>
    </row>
    <row r="87" spans="40:45" x14ac:dyDescent="0.25">
      <c r="AN87" s="228">
        <v>80</v>
      </c>
      <c r="AO87" s="228">
        <v>95</v>
      </c>
      <c r="AR87" s="228">
        <v>80</v>
      </c>
      <c r="AS87" s="228">
        <v>35</v>
      </c>
    </row>
    <row r="88" spans="40:45" x14ac:dyDescent="0.25">
      <c r="AN88" s="228">
        <v>81</v>
      </c>
      <c r="AO88" s="228">
        <v>95</v>
      </c>
      <c r="AR88" s="228">
        <v>81</v>
      </c>
      <c r="AS88" s="228">
        <v>35</v>
      </c>
    </row>
    <row r="89" spans="40:45" x14ac:dyDescent="0.25">
      <c r="AN89" s="228">
        <v>82</v>
      </c>
      <c r="AO89" s="228">
        <v>95</v>
      </c>
      <c r="AR89" s="228">
        <v>82</v>
      </c>
      <c r="AS89" s="228">
        <v>35</v>
      </c>
    </row>
    <row r="90" spans="40:45" x14ac:dyDescent="0.25">
      <c r="AN90" s="228">
        <v>83</v>
      </c>
      <c r="AO90" s="228">
        <v>95</v>
      </c>
      <c r="AR90" s="228">
        <v>83</v>
      </c>
      <c r="AS90" s="228">
        <v>35</v>
      </c>
    </row>
    <row r="91" spans="40:45" x14ac:dyDescent="0.25">
      <c r="AN91" s="228">
        <v>84</v>
      </c>
      <c r="AO91" s="228">
        <v>95</v>
      </c>
      <c r="AR91" s="228">
        <v>84</v>
      </c>
      <c r="AS91" s="228">
        <v>35</v>
      </c>
    </row>
    <row r="92" spans="40:45" x14ac:dyDescent="0.25">
      <c r="AN92" s="228">
        <v>85</v>
      </c>
      <c r="AO92" s="228">
        <v>95</v>
      </c>
      <c r="AR92" s="228">
        <v>85</v>
      </c>
      <c r="AS92" s="228">
        <v>35</v>
      </c>
    </row>
    <row r="93" spans="40:45" x14ac:dyDescent="0.25">
      <c r="AN93" s="228">
        <v>86</v>
      </c>
      <c r="AO93" s="228">
        <v>95</v>
      </c>
      <c r="AR93" s="228">
        <v>86</v>
      </c>
      <c r="AS93" s="228">
        <v>50</v>
      </c>
    </row>
    <row r="94" spans="40:45" x14ac:dyDescent="0.25">
      <c r="AN94" s="228">
        <v>87</v>
      </c>
      <c r="AO94" s="228">
        <v>95</v>
      </c>
      <c r="AR94" s="228">
        <v>87</v>
      </c>
      <c r="AS94" s="228">
        <v>50</v>
      </c>
    </row>
    <row r="95" spans="40:45" x14ac:dyDescent="0.25">
      <c r="AN95" s="228">
        <v>88</v>
      </c>
      <c r="AO95" s="228">
        <v>95</v>
      </c>
      <c r="AR95" s="228">
        <v>88</v>
      </c>
      <c r="AS95" s="228">
        <v>50</v>
      </c>
    </row>
    <row r="96" spans="40:45" x14ac:dyDescent="0.25">
      <c r="AN96" s="228">
        <v>89</v>
      </c>
      <c r="AO96" s="228">
        <v>95</v>
      </c>
      <c r="AR96" s="228">
        <v>89</v>
      </c>
      <c r="AS96" s="228">
        <v>50</v>
      </c>
    </row>
    <row r="97" spans="40:45" x14ac:dyDescent="0.25">
      <c r="AN97" s="228">
        <v>90</v>
      </c>
      <c r="AO97" s="228">
        <v>95</v>
      </c>
      <c r="AR97" s="228">
        <v>90</v>
      </c>
      <c r="AS97" s="228">
        <v>50</v>
      </c>
    </row>
    <row r="98" spans="40:45" x14ac:dyDescent="0.25">
      <c r="AN98" s="228">
        <v>91</v>
      </c>
      <c r="AO98" s="228">
        <v>95</v>
      </c>
      <c r="AR98" s="228">
        <v>91</v>
      </c>
      <c r="AS98" s="228">
        <v>50</v>
      </c>
    </row>
    <row r="99" spans="40:45" x14ac:dyDescent="0.25">
      <c r="AN99" s="228">
        <v>92</v>
      </c>
      <c r="AO99" s="228">
        <v>95</v>
      </c>
      <c r="AR99" s="228">
        <v>92</v>
      </c>
      <c r="AS99" s="228">
        <v>50</v>
      </c>
    </row>
    <row r="100" spans="40:45" x14ac:dyDescent="0.25">
      <c r="AN100" s="228">
        <v>93</v>
      </c>
      <c r="AO100" s="228">
        <v>95</v>
      </c>
      <c r="AR100" s="228">
        <v>93</v>
      </c>
      <c r="AS100" s="228">
        <v>50</v>
      </c>
    </row>
    <row r="101" spans="40:45" x14ac:dyDescent="0.25">
      <c r="AN101" s="228">
        <v>94</v>
      </c>
      <c r="AO101" s="228">
        <v>95</v>
      </c>
      <c r="AR101" s="228">
        <v>94</v>
      </c>
      <c r="AS101" s="228">
        <v>50</v>
      </c>
    </row>
    <row r="102" spans="40:45" x14ac:dyDescent="0.25">
      <c r="AN102" s="228">
        <v>95</v>
      </c>
      <c r="AO102" s="228">
        <v>95</v>
      </c>
      <c r="AR102" s="228">
        <v>95</v>
      </c>
      <c r="AS102" s="228">
        <v>50</v>
      </c>
    </row>
    <row r="103" spans="40:45" x14ac:dyDescent="0.25">
      <c r="AN103" s="228">
        <v>96</v>
      </c>
      <c r="AO103" s="228">
        <v>120</v>
      </c>
      <c r="AR103" s="228">
        <v>96</v>
      </c>
      <c r="AS103" s="228">
        <v>50</v>
      </c>
    </row>
    <row r="104" spans="40:45" x14ac:dyDescent="0.25">
      <c r="AN104" s="228">
        <v>97</v>
      </c>
      <c r="AO104" s="228">
        <v>120</v>
      </c>
      <c r="AR104" s="228">
        <v>97</v>
      </c>
      <c r="AS104" s="228">
        <v>50</v>
      </c>
    </row>
    <row r="105" spans="40:45" x14ac:dyDescent="0.25">
      <c r="AN105" s="228">
        <v>98</v>
      </c>
      <c r="AO105" s="228">
        <v>120</v>
      </c>
      <c r="AR105" s="228">
        <v>98</v>
      </c>
      <c r="AS105" s="228">
        <v>50</v>
      </c>
    </row>
    <row r="106" spans="40:45" x14ac:dyDescent="0.25">
      <c r="AN106" s="228">
        <v>99</v>
      </c>
      <c r="AO106" s="228">
        <v>120</v>
      </c>
      <c r="AR106" s="228">
        <v>99</v>
      </c>
      <c r="AS106" s="228">
        <v>50</v>
      </c>
    </row>
    <row r="107" spans="40:45" x14ac:dyDescent="0.25">
      <c r="AN107" s="228">
        <v>100</v>
      </c>
      <c r="AO107" s="228">
        <v>120</v>
      </c>
      <c r="AR107" s="228">
        <v>100</v>
      </c>
      <c r="AS107" s="228">
        <v>50</v>
      </c>
    </row>
    <row r="108" spans="40:45" x14ac:dyDescent="0.25">
      <c r="AN108" s="228">
        <v>101</v>
      </c>
      <c r="AO108" s="228">
        <v>120</v>
      </c>
      <c r="AR108" s="228">
        <v>101</v>
      </c>
      <c r="AS108" s="228">
        <v>50</v>
      </c>
    </row>
    <row r="109" spans="40:45" x14ac:dyDescent="0.25">
      <c r="AN109" s="228">
        <v>102</v>
      </c>
      <c r="AO109" s="228">
        <v>120</v>
      </c>
      <c r="AR109" s="228">
        <v>102</v>
      </c>
      <c r="AS109" s="228">
        <v>50</v>
      </c>
    </row>
    <row r="110" spans="40:45" x14ac:dyDescent="0.25">
      <c r="AN110" s="228">
        <v>103</v>
      </c>
      <c r="AO110" s="228">
        <v>120</v>
      </c>
      <c r="AR110" s="228">
        <v>103</v>
      </c>
      <c r="AS110" s="228">
        <v>50</v>
      </c>
    </row>
    <row r="111" spans="40:45" x14ac:dyDescent="0.25">
      <c r="AN111" s="228">
        <v>104</v>
      </c>
      <c r="AO111" s="228">
        <v>120</v>
      </c>
      <c r="AR111" s="228">
        <v>104</v>
      </c>
      <c r="AS111" s="228">
        <v>50</v>
      </c>
    </row>
    <row r="112" spans="40:45" x14ac:dyDescent="0.25">
      <c r="AN112" s="228">
        <v>105</v>
      </c>
      <c r="AO112" s="228">
        <v>120</v>
      </c>
      <c r="AR112" s="228">
        <v>105</v>
      </c>
      <c r="AS112" s="228">
        <v>50</v>
      </c>
    </row>
    <row r="113" spans="40:45" x14ac:dyDescent="0.25">
      <c r="AN113" s="228">
        <v>106</v>
      </c>
      <c r="AO113" s="228">
        <v>120</v>
      </c>
      <c r="AR113" s="228">
        <v>106</v>
      </c>
      <c r="AS113" s="228">
        <v>50</v>
      </c>
    </row>
    <row r="114" spans="40:45" x14ac:dyDescent="0.25">
      <c r="AN114" s="228">
        <v>107</v>
      </c>
      <c r="AO114" s="228">
        <v>120</v>
      </c>
      <c r="AR114" s="228">
        <v>107</v>
      </c>
      <c r="AS114" s="228">
        <v>50</v>
      </c>
    </row>
    <row r="115" spans="40:45" x14ac:dyDescent="0.25">
      <c r="AN115" s="228">
        <v>108</v>
      </c>
      <c r="AO115" s="228">
        <v>120</v>
      </c>
      <c r="AR115" s="228">
        <v>108</v>
      </c>
      <c r="AS115" s="228">
        <v>50</v>
      </c>
    </row>
    <row r="116" spans="40:45" x14ac:dyDescent="0.25">
      <c r="AN116" s="228">
        <v>109</v>
      </c>
      <c r="AO116" s="228">
        <v>120</v>
      </c>
      <c r="AR116" s="228">
        <v>109</v>
      </c>
      <c r="AS116" s="228">
        <v>50</v>
      </c>
    </row>
    <row r="117" spans="40:45" x14ac:dyDescent="0.25">
      <c r="AN117" s="228">
        <v>110</v>
      </c>
      <c r="AO117" s="228">
        <v>120</v>
      </c>
      <c r="AR117" s="228">
        <v>110</v>
      </c>
      <c r="AS117" s="228">
        <v>50</v>
      </c>
    </row>
    <row r="118" spans="40:45" x14ac:dyDescent="0.25">
      <c r="AN118" s="228">
        <v>111</v>
      </c>
      <c r="AO118" s="228">
        <v>120</v>
      </c>
      <c r="AR118" s="228">
        <v>111</v>
      </c>
      <c r="AS118" s="228">
        <v>70</v>
      </c>
    </row>
    <row r="119" spans="40:45" x14ac:dyDescent="0.25">
      <c r="AN119" s="228">
        <v>112</v>
      </c>
      <c r="AO119" s="228">
        <v>120</v>
      </c>
      <c r="AR119" s="228">
        <v>112</v>
      </c>
      <c r="AS119" s="228">
        <v>70</v>
      </c>
    </row>
    <row r="120" spans="40:45" x14ac:dyDescent="0.25">
      <c r="AN120" s="228">
        <v>113</v>
      </c>
      <c r="AO120" s="228">
        <v>120</v>
      </c>
      <c r="AR120" s="228">
        <v>113</v>
      </c>
      <c r="AS120" s="228">
        <v>70</v>
      </c>
    </row>
    <row r="121" spans="40:45" x14ac:dyDescent="0.25">
      <c r="AN121" s="228">
        <v>114</v>
      </c>
      <c r="AO121" s="228">
        <v>120</v>
      </c>
      <c r="AR121" s="228">
        <v>114</v>
      </c>
      <c r="AS121" s="228">
        <v>70</v>
      </c>
    </row>
    <row r="122" spans="40:45" x14ac:dyDescent="0.25">
      <c r="AN122" s="228">
        <v>115</v>
      </c>
      <c r="AO122" s="228">
        <v>120</v>
      </c>
      <c r="AR122" s="228">
        <v>115</v>
      </c>
      <c r="AS122" s="228">
        <v>70</v>
      </c>
    </row>
    <row r="123" spans="40:45" x14ac:dyDescent="0.25">
      <c r="AN123" s="228">
        <v>116</v>
      </c>
      <c r="AO123" s="228">
        <v>120</v>
      </c>
      <c r="AR123" s="228">
        <v>116</v>
      </c>
      <c r="AS123" s="228">
        <v>70</v>
      </c>
    </row>
    <row r="124" spans="40:45" x14ac:dyDescent="0.25">
      <c r="AN124" s="228">
        <v>117</v>
      </c>
      <c r="AO124" s="228">
        <v>120</v>
      </c>
      <c r="AR124" s="228">
        <v>117</v>
      </c>
      <c r="AS124" s="228">
        <v>70</v>
      </c>
    </row>
    <row r="125" spans="40:45" x14ac:dyDescent="0.25">
      <c r="AN125" s="228">
        <v>118</v>
      </c>
      <c r="AO125" s="228">
        <v>120</v>
      </c>
      <c r="AR125" s="228">
        <v>118</v>
      </c>
      <c r="AS125" s="228">
        <v>70</v>
      </c>
    </row>
    <row r="126" spans="40:45" x14ac:dyDescent="0.25">
      <c r="AN126" s="228">
        <v>119</v>
      </c>
      <c r="AO126" s="228">
        <v>120</v>
      </c>
      <c r="AR126" s="228">
        <v>119</v>
      </c>
      <c r="AS126" s="228">
        <v>70</v>
      </c>
    </row>
    <row r="127" spans="40:45" x14ac:dyDescent="0.25">
      <c r="AN127" s="228">
        <v>120</v>
      </c>
      <c r="AO127" s="228">
        <v>120</v>
      </c>
      <c r="AR127" s="228">
        <v>120</v>
      </c>
      <c r="AS127" s="228">
        <v>70</v>
      </c>
    </row>
    <row r="128" spans="40:45" x14ac:dyDescent="0.25">
      <c r="AN128" s="228">
        <v>121</v>
      </c>
      <c r="AO128" s="228">
        <v>150</v>
      </c>
      <c r="AR128" s="228">
        <v>121</v>
      </c>
      <c r="AS128" s="228">
        <v>70</v>
      </c>
    </row>
    <row r="129" spans="40:45" x14ac:dyDescent="0.25">
      <c r="AN129" s="228">
        <v>122</v>
      </c>
      <c r="AO129" s="228">
        <v>150</v>
      </c>
      <c r="AR129" s="228">
        <v>122</v>
      </c>
      <c r="AS129" s="228">
        <v>70</v>
      </c>
    </row>
    <row r="130" spans="40:45" x14ac:dyDescent="0.25">
      <c r="AN130" s="228">
        <v>123</v>
      </c>
      <c r="AO130" s="228">
        <v>150</v>
      </c>
      <c r="AR130" s="228">
        <v>123</v>
      </c>
      <c r="AS130" s="228">
        <v>70</v>
      </c>
    </row>
    <row r="131" spans="40:45" x14ac:dyDescent="0.25">
      <c r="AN131" s="228">
        <v>124</v>
      </c>
      <c r="AO131" s="228">
        <v>150</v>
      </c>
      <c r="AR131" s="228">
        <v>124</v>
      </c>
      <c r="AS131" s="228">
        <v>70</v>
      </c>
    </row>
    <row r="132" spans="40:45" x14ac:dyDescent="0.25">
      <c r="AN132" s="228">
        <v>125</v>
      </c>
      <c r="AO132" s="228">
        <v>150</v>
      </c>
      <c r="AR132" s="228">
        <v>125</v>
      </c>
      <c r="AS132" s="228">
        <v>70</v>
      </c>
    </row>
    <row r="133" spans="40:45" x14ac:dyDescent="0.25">
      <c r="AN133" s="228">
        <v>126</v>
      </c>
      <c r="AO133" s="228">
        <v>150</v>
      </c>
      <c r="AR133" s="228">
        <v>126</v>
      </c>
      <c r="AS133" s="228">
        <v>70</v>
      </c>
    </row>
    <row r="134" spans="40:45" x14ac:dyDescent="0.25">
      <c r="AN134" s="228">
        <v>127</v>
      </c>
      <c r="AO134" s="228">
        <v>150</v>
      </c>
      <c r="AR134" s="228">
        <v>127</v>
      </c>
      <c r="AS134" s="228">
        <v>70</v>
      </c>
    </row>
    <row r="135" spans="40:45" x14ac:dyDescent="0.25">
      <c r="AN135" s="228">
        <v>128</v>
      </c>
      <c r="AO135" s="228">
        <v>150</v>
      </c>
      <c r="AR135" s="228">
        <v>128</v>
      </c>
      <c r="AS135" s="228">
        <v>70</v>
      </c>
    </row>
    <row r="136" spans="40:45" x14ac:dyDescent="0.25">
      <c r="AN136" s="228">
        <v>129</v>
      </c>
      <c r="AO136" s="228">
        <v>150</v>
      </c>
      <c r="AR136" s="228">
        <v>129</v>
      </c>
      <c r="AS136" s="228">
        <v>70</v>
      </c>
    </row>
    <row r="137" spans="40:45" x14ac:dyDescent="0.25">
      <c r="AN137" s="228">
        <v>130</v>
      </c>
      <c r="AO137" s="228">
        <v>150</v>
      </c>
      <c r="AR137" s="228">
        <v>130</v>
      </c>
      <c r="AS137" s="228">
        <v>70</v>
      </c>
    </row>
    <row r="138" spans="40:45" x14ac:dyDescent="0.25">
      <c r="AN138" s="228">
        <v>131</v>
      </c>
      <c r="AO138" s="228">
        <v>150</v>
      </c>
      <c r="AR138" s="228">
        <v>131</v>
      </c>
      <c r="AS138" s="228">
        <v>70</v>
      </c>
    </row>
    <row r="139" spans="40:45" x14ac:dyDescent="0.25">
      <c r="AN139" s="228">
        <v>132</v>
      </c>
      <c r="AO139" s="228">
        <v>150</v>
      </c>
      <c r="AR139" s="228">
        <v>132</v>
      </c>
      <c r="AS139" s="228">
        <v>70</v>
      </c>
    </row>
    <row r="140" spans="40:45" x14ac:dyDescent="0.25">
      <c r="AN140" s="228">
        <v>133</v>
      </c>
      <c r="AO140" s="228">
        <v>150</v>
      </c>
      <c r="AR140" s="228">
        <v>133</v>
      </c>
      <c r="AS140" s="228">
        <v>70</v>
      </c>
    </row>
    <row r="141" spans="40:45" x14ac:dyDescent="0.25">
      <c r="AN141" s="228">
        <v>134</v>
      </c>
      <c r="AO141" s="228">
        <v>150</v>
      </c>
      <c r="AR141" s="228">
        <v>134</v>
      </c>
      <c r="AS141" s="228">
        <v>70</v>
      </c>
    </row>
    <row r="142" spans="40:45" x14ac:dyDescent="0.25">
      <c r="AN142" s="228">
        <v>135</v>
      </c>
      <c r="AO142" s="228">
        <v>150</v>
      </c>
      <c r="AR142" s="228">
        <v>135</v>
      </c>
      <c r="AS142" s="228">
        <v>70</v>
      </c>
    </row>
    <row r="143" spans="40:45" x14ac:dyDescent="0.25">
      <c r="AN143" s="228">
        <v>136</v>
      </c>
      <c r="AO143" s="228">
        <v>150</v>
      </c>
      <c r="AR143" s="228">
        <v>136</v>
      </c>
      <c r="AS143" s="228">
        <v>95</v>
      </c>
    </row>
    <row r="144" spans="40:45" x14ac:dyDescent="0.25">
      <c r="AN144" s="228">
        <v>137</v>
      </c>
      <c r="AO144" s="228">
        <v>150</v>
      </c>
      <c r="AR144" s="228">
        <v>137</v>
      </c>
      <c r="AS144" s="228">
        <v>95</v>
      </c>
    </row>
    <row r="145" spans="40:45" x14ac:dyDescent="0.25">
      <c r="AN145" s="228">
        <v>138</v>
      </c>
      <c r="AO145" s="228">
        <v>150</v>
      </c>
      <c r="AR145" s="228">
        <v>138</v>
      </c>
      <c r="AS145" s="228">
        <v>95</v>
      </c>
    </row>
    <row r="146" spans="40:45" x14ac:dyDescent="0.25">
      <c r="AN146" s="228">
        <v>139</v>
      </c>
      <c r="AO146" s="228">
        <v>150</v>
      </c>
      <c r="AR146" s="228">
        <v>139</v>
      </c>
      <c r="AS146" s="228">
        <v>95</v>
      </c>
    </row>
    <row r="147" spans="40:45" x14ac:dyDescent="0.25">
      <c r="AN147" s="228">
        <v>140</v>
      </c>
      <c r="AO147" s="228">
        <v>150</v>
      </c>
      <c r="AR147" s="228">
        <v>140</v>
      </c>
      <c r="AS147" s="228">
        <v>95</v>
      </c>
    </row>
    <row r="148" spans="40:45" x14ac:dyDescent="0.25">
      <c r="AN148" s="228">
        <v>141</v>
      </c>
      <c r="AO148" s="228">
        <v>150</v>
      </c>
      <c r="AR148" s="228">
        <v>141</v>
      </c>
      <c r="AS148" s="228">
        <v>95</v>
      </c>
    </row>
    <row r="149" spans="40:45" x14ac:dyDescent="0.25">
      <c r="AN149" s="228">
        <v>142</v>
      </c>
      <c r="AO149" s="228">
        <v>150</v>
      </c>
      <c r="AR149" s="228">
        <v>142</v>
      </c>
      <c r="AS149" s="228">
        <v>95</v>
      </c>
    </row>
    <row r="150" spans="40:45" x14ac:dyDescent="0.25">
      <c r="AN150" s="228">
        <v>143</v>
      </c>
      <c r="AO150" s="228">
        <v>150</v>
      </c>
      <c r="AR150" s="228">
        <v>143</v>
      </c>
      <c r="AS150" s="228">
        <v>95</v>
      </c>
    </row>
    <row r="151" spans="40:45" x14ac:dyDescent="0.25">
      <c r="AN151" s="228">
        <v>144</v>
      </c>
      <c r="AO151" s="228">
        <v>150</v>
      </c>
      <c r="AR151" s="228">
        <v>144</v>
      </c>
      <c r="AS151" s="228">
        <v>95</v>
      </c>
    </row>
    <row r="152" spans="40:45" x14ac:dyDescent="0.25">
      <c r="AN152" s="228">
        <v>145</v>
      </c>
      <c r="AO152" s="228">
        <v>150</v>
      </c>
      <c r="AR152" s="228">
        <v>145</v>
      </c>
      <c r="AS152" s="228">
        <v>95</v>
      </c>
    </row>
    <row r="153" spans="40:45" x14ac:dyDescent="0.25">
      <c r="AN153" s="228">
        <v>146</v>
      </c>
      <c r="AO153" s="228">
        <v>150</v>
      </c>
      <c r="AR153" s="228">
        <v>146</v>
      </c>
      <c r="AS153" s="228">
        <v>95</v>
      </c>
    </row>
    <row r="154" spans="40:45" x14ac:dyDescent="0.25">
      <c r="AN154" s="228">
        <v>147</v>
      </c>
      <c r="AO154" s="228">
        <v>150</v>
      </c>
      <c r="AR154" s="228">
        <v>147</v>
      </c>
      <c r="AS154" s="228">
        <v>95</v>
      </c>
    </row>
    <row r="155" spans="40:45" x14ac:dyDescent="0.25">
      <c r="AN155" s="228">
        <v>148</v>
      </c>
      <c r="AO155" s="228">
        <v>150</v>
      </c>
      <c r="AR155" s="228">
        <v>148</v>
      </c>
      <c r="AS155" s="228">
        <v>95</v>
      </c>
    </row>
    <row r="156" spans="40:45" x14ac:dyDescent="0.25">
      <c r="AN156" s="228">
        <v>149</v>
      </c>
      <c r="AO156" s="228">
        <v>150</v>
      </c>
      <c r="AR156" s="228">
        <v>149</v>
      </c>
      <c r="AS156" s="228">
        <v>95</v>
      </c>
    </row>
    <row r="157" spans="40:45" x14ac:dyDescent="0.25">
      <c r="AN157" s="228">
        <v>150</v>
      </c>
      <c r="AO157" s="228">
        <v>150</v>
      </c>
      <c r="AR157" s="228">
        <v>150</v>
      </c>
      <c r="AS157" s="228">
        <v>95</v>
      </c>
    </row>
    <row r="158" spans="40:45" x14ac:dyDescent="0.25">
      <c r="AR158" s="228">
        <v>151</v>
      </c>
      <c r="AS158" s="228">
        <v>95</v>
      </c>
    </row>
    <row r="159" spans="40:45" x14ac:dyDescent="0.25">
      <c r="AR159" s="228">
        <v>152</v>
      </c>
      <c r="AS159" s="228">
        <v>95</v>
      </c>
    </row>
    <row r="160" spans="40:45" x14ac:dyDescent="0.25">
      <c r="AR160" s="228">
        <v>153</v>
      </c>
      <c r="AS160" s="228">
        <v>95</v>
      </c>
    </row>
    <row r="161" spans="44:45" x14ac:dyDescent="0.25">
      <c r="AR161" s="228">
        <v>154</v>
      </c>
      <c r="AS161" s="228">
        <v>95</v>
      </c>
    </row>
    <row r="162" spans="44:45" x14ac:dyDescent="0.25">
      <c r="AR162" s="228">
        <v>155</v>
      </c>
      <c r="AS162" s="228">
        <v>95</v>
      </c>
    </row>
    <row r="163" spans="44:45" x14ac:dyDescent="0.25">
      <c r="AR163" s="228">
        <v>156</v>
      </c>
      <c r="AS163" s="228">
        <v>95</v>
      </c>
    </row>
    <row r="164" spans="44:45" x14ac:dyDescent="0.25">
      <c r="AR164" s="228">
        <v>157</v>
      </c>
      <c r="AS164" s="228">
        <v>95</v>
      </c>
    </row>
    <row r="165" spans="44:45" x14ac:dyDescent="0.25">
      <c r="AR165" s="228">
        <v>158</v>
      </c>
      <c r="AS165" s="228">
        <v>95</v>
      </c>
    </row>
    <row r="166" spans="44:45" x14ac:dyDescent="0.25">
      <c r="AR166" s="228">
        <v>159</v>
      </c>
      <c r="AS166" s="228">
        <v>95</v>
      </c>
    </row>
    <row r="167" spans="44:45" x14ac:dyDescent="0.25">
      <c r="AR167" s="228">
        <v>160</v>
      </c>
      <c r="AS167" s="228">
        <v>95</v>
      </c>
    </row>
    <row r="168" spans="44:45" x14ac:dyDescent="0.25">
      <c r="AR168" s="228">
        <v>161</v>
      </c>
      <c r="AS168" s="228">
        <v>95</v>
      </c>
    </row>
    <row r="169" spans="44:45" x14ac:dyDescent="0.25">
      <c r="AR169" s="228">
        <v>162</v>
      </c>
      <c r="AS169" s="228">
        <v>95</v>
      </c>
    </row>
    <row r="170" spans="44:45" x14ac:dyDescent="0.25">
      <c r="AR170" s="228">
        <v>163</v>
      </c>
      <c r="AS170" s="228">
        <v>95</v>
      </c>
    </row>
    <row r="171" spans="44:45" x14ac:dyDescent="0.25">
      <c r="AR171" s="228">
        <v>164</v>
      </c>
      <c r="AS171" s="228">
        <v>95</v>
      </c>
    </row>
    <row r="172" spans="44:45" x14ac:dyDescent="0.25">
      <c r="AR172" s="228">
        <v>165</v>
      </c>
      <c r="AS172" s="228">
        <v>95</v>
      </c>
    </row>
    <row r="173" spans="44:45" x14ac:dyDescent="0.25">
      <c r="AR173" s="228">
        <v>166</v>
      </c>
      <c r="AS173" s="228">
        <v>120</v>
      </c>
    </row>
    <row r="174" spans="44:45" x14ac:dyDescent="0.25">
      <c r="AR174" s="228">
        <v>167</v>
      </c>
      <c r="AS174" s="228">
        <v>120</v>
      </c>
    </row>
    <row r="175" spans="44:45" x14ac:dyDescent="0.25">
      <c r="AR175" s="228">
        <v>168</v>
      </c>
      <c r="AS175" s="228">
        <v>120</v>
      </c>
    </row>
    <row r="176" spans="44:45" x14ac:dyDescent="0.25">
      <c r="AR176" s="228">
        <v>169</v>
      </c>
      <c r="AS176" s="228">
        <v>120</v>
      </c>
    </row>
    <row r="177" spans="44:45" x14ac:dyDescent="0.25">
      <c r="AR177" s="228">
        <v>170</v>
      </c>
      <c r="AS177" s="228">
        <v>120</v>
      </c>
    </row>
    <row r="178" spans="44:45" x14ac:dyDescent="0.25">
      <c r="AR178" s="228">
        <v>171</v>
      </c>
      <c r="AS178" s="228">
        <v>120</v>
      </c>
    </row>
    <row r="179" spans="44:45" x14ac:dyDescent="0.25">
      <c r="AR179" s="228">
        <v>172</v>
      </c>
      <c r="AS179" s="228">
        <v>120</v>
      </c>
    </row>
    <row r="180" spans="44:45" x14ac:dyDescent="0.25">
      <c r="AR180" s="228">
        <v>173</v>
      </c>
      <c r="AS180" s="228">
        <v>120</v>
      </c>
    </row>
    <row r="181" spans="44:45" x14ac:dyDescent="0.25">
      <c r="AR181" s="228">
        <v>174</v>
      </c>
      <c r="AS181" s="228">
        <v>120</v>
      </c>
    </row>
    <row r="182" spans="44:45" x14ac:dyDescent="0.25">
      <c r="AR182" s="228">
        <v>175</v>
      </c>
      <c r="AS182" s="228">
        <v>120</v>
      </c>
    </row>
    <row r="183" spans="44:45" x14ac:dyDescent="0.25">
      <c r="AR183" s="228">
        <v>176</v>
      </c>
      <c r="AS183" s="228">
        <v>120</v>
      </c>
    </row>
    <row r="184" spans="44:45" x14ac:dyDescent="0.25">
      <c r="AR184" s="228">
        <v>177</v>
      </c>
      <c r="AS184" s="228">
        <v>120</v>
      </c>
    </row>
    <row r="185" spans="44:45" x14ac:dyDescent="0.25">
      <c r="AR185" s="228">
        <v>178</v>
      </c>
      <c r="AS185" s="228">
        <v>120</v>
      </c>
    </row>
    <row r="186" spans="44:45" x14ac:dyDescent="0.25">
      <c r="AR186" s="228">
        <v>179</v>
      </c>
      <c r="AS186" s="228">
        <v>120</v>
      </c>
    </row>
    <row r="187" spans="44:45" x14ac:dyDescent="0.25">
      <c r="AR187" s="228">
        <v>180</v>
      </c>
      <c r="AS187" s="228">
        <v>120</v>
      </c>
    </row>
    <row r="188" spans="44:45" x14ac:dyDescent="0.25">
      <c r="AR188" s="228">
        <v>181</v>
      </c>
      <c r="AS188" s="228">
        <v>120</v>
      </c>
    </row>
    <row r="189" spans="44:45" x14ac:dyDescent="0.25">
      <c r="AR189" s="228">
        <v>182</v>
      </c>
      <c r="AS189" s="228">
        <v>120</v>
      </c>
    </row>
    <row r="190" spans="44:45" x14ac:dyDescent="0.25">
      <c r="AR190" s="228">
        <v>183</v>
      </c>
      <c r="AS190" s="228">
        <v>120</v>
      </c>
    </row>
    <row r="191" spans="44:45" x14ac:dyDescent="0.25">
      <c r="AR191" s="228">
        <v>184</v>
      </c>
      <c r="AS191" s="228">
        <v>120</v>
      </c>
    </row>
    <row r="192" spans="44:45" x14ac:dyDescent="0.25">
      <c r="AR192" s="228">
        <v>185</v>
      </c>
      <c r="AS192" s="228">
        <v>120</v>
      </c>
    </row>
    <row r="193" spans="44:45" x14ac:dyDescent="0.25">
      <c r="AR193" s="228">
        <v>186</v>
      </c>
      <c r="AS193" s="228">
        <v>120</v>
      </c>
    </row>
    <row r="194" spans="44:45" x14ac:dyDescent="0.25">
      <c r="AR194" s="228">
        <v>187</v>
      </c>
      <c r="AS194" s="228">
        <v>120</v>
      </c>
    </row>
    <row r="195" spans="44:45" x14ac:dyDescent="0.25">
      <c r="AR195" s="228">
        <v>188</v>
      </c>
      <c r="AS195" s="228">
        <v>120</v>
      </c>
    </row>
    <row r="196" spans="44:45" x14ac:dyDescent="0.25">
      <c r="AR196" s="228">
        <v>189</v>
      </c>
      <c r="AS196" s="228">
        <v>120</v>
      </c>
    </row>
    <row r="197" spans="44:45" x14ac:dyDescent="0.25">
      <c r="AR197" s="228">
        <v>190</v>
      </c>
      <c r="AS197" s="228">
        <v>120</v>
      </c>
    </row>
    <row r="198" spans="44:45" x14ac:dyDescent="0.25">
      <c r="AR198" s="228">
        <v>191</v>
      </c>
      <c r="AS198" s="228">
        <v>150</v>
      </c>
    </row>
    <row r="199" spans="44:45" x14ac:dyDescent="0.25">
      <c r="AR199" s="228">
        <v>192</v>
      </c>
      <c r="AS199" s="228">
        <v>150</v>
      </c>
    </row>
    <row r="200" spans="44:45" x14ac:dyDescent="0.25">
      <c r="AR200" s="228">
        <v>193</v>
      </c>
      <c r="AS200" s="228">
        <v>150</v>
      </c>
    </row>
    <row r="201" spans="44:45" x14ac:dyDescent="0.25">
      <c r="AR201" s="228">
        <v>194</v>
      </c>
      <c r="AS201" s="228">
        <v>150</v>
      </c>
    </row>
    <row r="202" spans="44:45" x14ac:dyDescent="0.25">
      <c r="AR202" s="228">
        <v>195</v>
      </c>
      <c r="AS202" s="228">
        <v>150</v>
      </c>
    </row>
    <row r="203" spans="44:45" x14ac:dyDescent="0.25">
      <c r="AR203" s="228">
        <v>196</v>
      </c>
      <c r="AS203" s="228">
        <v>150</v>
      </c>
    </row>
    <row r="204" spans="44:45" x14ac:dyDescent="0.25">
      <c r="AR204" s="228">
        <v>197</v>
      </c>
      <c r="AS204" s="228">
        <v>150</v>
      </c>
    </row>
    <row r="205" spans="44:45" x14ac:dyDescent="0.25">
      <c r="AR205" s="228">
        <v>198</v>
      </c>
      <c r="AS205" s="228">
        <v>150</v>
      </c>
    </row>
    <row r="206" spans="44:45" x14ac:dyDescent="0.25">
      <c r="AR206" s="228">
        <v>199</v>
      </c>
      <c r="AS206" s="228">
        <v>150</v>
      </c>
    </row>
    <row r="207" spans="44:45" x14ac:dyDescent="0.25">
      <c r="AR207" s="228">
        <v>200</v>
      </c>
      <c r="AS207" s="228">
        <v>150</v>
      </c>
    </row>
    <row r="208" spans="44:45" x14ac:dyDescent="0.25">
      <c r="AR208" s="228">
        <v>201</v>
      </c>
      <c r="AS208" s="228">
        <v>150</v>
      </c>
    </row>
    <row r="209" spans="44:45" x14ac:dyDescent="0.25">
      <c r="AR209" s="228">
        <v>202</v>
      </c>
      <c r="AS209" s="228">
        <v>150</v>
      </c>
    </row>
    <row r="210" spans="44:45" x14ac:dyDescent="0.25">
      <c r="AR210" s="228">
        <v>203</v>
      </c>
      <c r="AS210" s="228">
        <v>150</v>
      </c>
    </row>
    <row r="211" spans="44:45" x14ac:dyDescent="0.25">
      <c r="AR211" s="228">
        <v>204</v>
      </c>
      <c r="AS211" s="228">
        <v>150</v>
      </c>
    </row>
    <row r="212" spans="44:45" x14ac:dyDescent="0.25">
      <c r="AR212" s="228">
        <v>205</v>
      </c>
      <c r="AS212" s="228">
        <v>150</v>
      </c>
    </row>
    <row r="213" spans="44:45" x14ac:dyDescent="0.25">
      <c r="AR213" s="228">
        <v>206</v>
      </c>
      <c r="AS213" s="228">
        <v>150</v>
      </c>
    </row>
    <row r="214" spans="44:45" x14ac:dyDescent="0.25">
      <c r="AR214" s="228">
        <v>207</v>
      </c>
      <c r="AS214" s="228">
        <v>150</v>
      </c>
    </row>
    <row r="215" spans="44:45" x14ac:dyDescent="0.25">
      <c r="AR215" s="228">
        <v>208</v>
      </c>
      <c r="AS215" s="228">
        <v>150</v>
      </c>
    </row>
    <row r="216" spans="44:45" x14ac:dyDescent="0.25">
      <c r="AR216" s="228">
        <v>209</v>
      </c>
      <c r="AS216" s="228">
        <v>150</v>
      </c>
    </row>
    <row r="217" spans="44:45" x14ac:dyDescent="0.25">
      <c r="AR217" s="228">
        <v>210</v>
      </c>
      <c r="AS217" s="228">
        <v>150</v>
      </c>
    </row>
    <row r="218" spans="44:45" x14ac:dyDescent="0.25">
      <c r="AR218" s="228">
        <v>211</v>
      </c>
      <c r="AS218" s="228">
        <v>150</v>
      </c>
    </row>
    <row r="219" spans="44:45" x14ac:dyDescent="0.25">
      <c r="AR219" s="228">
        <v>212</v>
      </c>
      <c r="AS219" s="228">
        <v>150</v>
      </c>
    </row>
    <row r="220" spans="44:45" x14ac:dyDescent="0.25">
      <c r="AR220" s="228">
        <v>213</v>
      </c>
      <c r="AS220" s="228">
        <v>150</v>
      </c>
    </row>
    <row r="221" spans="44:45" x14ac:dyDescent="0.25">
      <c r="AR221" s="228">
        <v>214</v>
      </c>
      <c r="AS221" s="228">
        <v>150</v>
      </c>
    </row>
    <row r="222" spans="44:45" x14ac:dyDescent="0.25">
      <c r="AR222" s="228">
        <v>215</v>
      </c>
      <c r="AS222" s="228">
        <v>150</v>
      </c>
    </row>
    <row r="223" spans="44:45" x14ac:dyDescent="0.25">
      <c r="AR223" s="228">
        <v>216</v>
      </c>
      <c r="AS223" s="228">
        <v>150</v>
      </c>
    </row>
    <row r="224" spans="44:45" x14ac:dyDescent="0.25">
      <c r="AR224" s="228">
        <v>217</v>
      </c>
      <c r="AS224" s="228">
        <v>150</v>
      </c>
    </row>
    <row r="225" spans="44:45" x14ac:dyDescent="0.25">
      <c r="AR225" s="228">
        <v>218</v>
      </c>
      <c r="AS225" s="228">
        <v>150</v>
      </c>
    </row>
    <row r="226" spans="44:45" x14ac:dyDescent="0.25">
      <c r="AR226" s="228">
        <v>219</v>
      </c>
      <c r="AS226" s="228">
        <v>150</v>
      </c>
    </row>
    <row r="227" spans="44:45" x14ac:dyDescent="0.25">
      <c r="AR227" s="228">
        <v>220</v>
      </c>
      <c r="AS227" s="228">
        <v>150</v>
      </c>
    </row>
  </sheetData>
  <sheetProtection algorithmName="SHA-512" hashValue="2jVVdlrUbnaKhQSu6KEWy4j5L/oHnLCN4T446rcliea1LGSZGRx+CHEwWwJhRQrtzKPNeWqWS3UFgywWTEQn0g==" saltValue="czHu5Nbm8U6JsGTTb0uQ/A==" spinCount="100000" sheet="1" objects="1" scenarios="1"/>
  <mergeCells count="2">
    <mergeCell ref="B2:I2"/>
    <mergeCell ref="B4:I5"/>
  </mergeCells>
  <phoneticPr fontId="21" type="noConversion"/>
  <hyperlinks>
    <hyperlink ref="I9" r:id="rId1" xr:uid="{00000000-0004-0000-0700-000000000000}"/>
    <hyperlink ref="I8" r:id="rId2" xr:uid="{00000000-0004-0000-0700-000001000000}"/>
  </hyperlinks>
  <pageMargins left="0.75" right="0.75" top="1" bottom="1" header="0" footer="0"/>
  <pageSetup paperSize="9" orientation="portrait" r:id="rId3"/>
  <headerFooter alignWithMargins="0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AH74"/>
  <sheetViews>
    <sheetView topLeftCell="A49" workbookViewId="0">
      <selection activeCell="I76" sqref="I76"/>
    </sheetView>
  </sheetViews>
  <sheetFormatPr baseColWidth="10" defaultRowHeight="15" x14ac:dyDescent="0.25"/>
  <cols>
    <col min="1" max="10" width="11.42578125" style="151"/>
    <col min="11" max="11" width="50.28515625" style="151" customWidth="1"/>
    <col min="12" max="33" width="11.42578125" style="151"/>
    <col min="34" max="34" width="7.85546875" style="151" customWidth="1"/>
    <col min="35" max="16384" width="11.42578125" style="151"/>
  </cols>
  <sheetData>
    <row r="3" spans="2:34" ht="26.25" x14ac:dyDescent="0.4">
      <c r="B3" s="288" t="s">
        <v>277</v>
      </c>
      <c r="C3" s="289"/>
      <c r="D3" s="289"/>
      <c r="E3" s="289"/>
      <c r="F3" s="289"/>
      <c r="G3" s="289"/>
      <c r="H3" s="289"/>
      <c r="I3" s="290"/>
    </row>
    <row r="5" spans="2:34" ht="18.75" x14ac:dyDescent="0.3">
      <c r="B5" s="252" t="s">
        <v>286</v>
      </c>
      <c r="C5" s="252"/>
      <c r="D5" s="252"/>
      <c r="E5" s="252"/>
      <c r="F5" s="252"/>
      <c r="G5" s="252"/>
      <c r="H5" s="252"/>
      <c r="I5" s="252"/>
      <c r="J5" s="264"/>
      <c r="K5" s="264"/>
      <c r="L5" s="264"/>
      <c r="M5" s="264"/>
      <c r="AG5" s="151">
        <v>1</v>
      </c>
      <c r="AH5" s="151">
        <f>1/TAN((2*PI()*67/360)-(AG5*2*PI()/360))</f>
        <v>0.44522868530853638</v>
      </c>
    </row>
    <row r="6" spans="2:34" ht="23.25" x14ac:dyDescent="0.35">
      <c r="J6" s="264"/>
      <c r="K6" s="265" t="s">
        <v>260</v>
      </c>
      <c r="L6" s="264"/>
      <c r="M6" s="264"/>
      <c r="AG6" s="151">
        <f>AG5+1</f>
        <v>2</v>
      </c>
      <c r="AH6" s="151">
        <f t="shared" ref="AH6:AH54" si="0">1/TAN((2*PI()*67/360)-(AG6*2*PI()/360))</f>
        <v>0.46630765815499886</v>
      </c>
    </row>
    <row r="7" spans="2:34" x14ac:dyDescent="0.25">
      <c r="J7" s="264"/>
      <c r="K7" s="264" t="s">
        <v>252</v>
      </c>
      <c r="L7" s="17" t="s">
        <v>268</v>
      </c>
      <c r="M7" s="264"/>
      <c r="AG7" s="151">
        <f t="shared" ref="AG7:AG54" si="1">AG6+1</f>
        <v>3</v>
      </c>
      <c r="AH7" s="151">
        <f t="shared" si="0"/>
        <v>0.48773258856586166</v>
      </c>
    </row>
    <row r="8" spans="2:34" x14ac:dyDescent="0.25">
      <c r="J8" s="264"/>
      <c r="K8" s="264" t="s">
        <v>265</v>
      </c>
      <c r="L8" s="264" t="s">
        <v>253</v>
      </c>
      <c r="M8" s="264"/>
      <c r="AG8" s="151">
        <f t="shared" si="1"/>
        <v>4</v>
      </c>
      <c r="AH8" s="151">
        <f t="shared" si="0"/>
        <v>0.50952544949442913</v>
      </c>
    </row>
    <row r="9" spans="2:34" x14ac:dyDescent="0.25">
      <c r="J9" s="264"/>
      <c r="K9" s="264"/>
      <c r="L9" s="264"/>
      <c r="M9" s="264"/>
      <c r="AG9" s="151">
        <f t="shared" si="1"/>
        <v>5</v>
      </c>
      <c r="AH9" s="151">
        <f t="shared" si="0"/>
        <v>0.53170943166147877</v>
      </c>
    </row>
    <row r="10" spans="2:34" x14ac:dyDescent="0.25">
      <c r="AG10" s="151">
        <f t="shared" si="1"/>
        <v>6</v>
      </c>
      <c r="AH10" s="151">
        <f t="shared" si="0"/>
        <v>0.55430905145276899</v>
      </c>
    </row>
    <row r="11" spans="2:34" x14ac:dyDescent="0.25">
      <c r="AG11" s="151">
        <f t="shared" si="1"/>
        <v>7</v>
      </c>
      <c r="AH11" s="151">
        <f t="shared" si="0"/>
        <v>0.57735026918962595</v>
      </c>
    </row>
    <row r="12" spans="2:34" x14ac:dyDescent="0.25">
      <c r="AG12" s="151">
        <f t="shared" si="1"/>
        <v>8</v>
      </c>
      <c r="AH12" s="151">
        <f t="shared" si="0"/>
        <v>0.60086061902756061</v>
      </c>
    </row>
    <row r="13" spans="2:34" x14ac:dyDescent="0.25">
      <c r="AG13" s="151">
        <f t="shared" si="1"/>
        <v>9</v>
      </c>
      <c r="AH13" s="151">
        <f t="shared" si="0"/>
        <v>0.62486935190932769</v>
      </c>
    </row>
    <row r="14" spans="2:34" x14ac:dyDescent="0.25">
      <c r="AG14" s="151">
        <f t="shared" si="1"/>
        <v>10</v>
      </c>
      <c r="AH14" s="151">
        <f t="shared" si="0"/>
        <v>0.64940759319751085</v>
      </c>
    </row>
    <row r="15" spans="2:34" x14ac:dyDescent="0.25">
      <c r="AG15" s="151">
        <f t="shared" si="1"/>
        <v>11</v>
      </c>
      <c r="AH15" s="151">
        <f t="shared" si="0"/>
        <v>0.67450851684242685</v>
      </c>
    </row>
    <row r="16" spans="2:34" x14ac:dyDescent="0.25">
      <c r="AG16" s="151">
        <f t="shared" si="1"/>
        <v>12</v>
      </c>
      <c r="AH16" s="151">
        <f t="shared" si="0"/>
        <v>0.70020753820970993</v>
      </c>
    </row>
    <row r="17" spans="33:34" x14ac:dyDescent="0.25">
      <c r="AG17" s="151">
        <f t="shared" si="1"/>
        <v>13</v>
      </c>
      <c r="AH17" s="151">
        <f t="shared" si="0"/>
        <v>0.72654252800536112</v>
      </c>
    </row>
    <row r="18" spans="33:34" x14ac:dyDescent="0.25">
      <c r="AG18" s="151">
        <f t="shared" si="1"/>
        <v>14</v>
      </c>
      <c r="AH18" s="151">
        <f t="shared" si="0"/>
        <v>0.75355405010279441</v>
      </c>
    </row>
    <row r="19" spans="33:34" x14ac:dyDescent="0.25">
      <c r="AG19" s="151">
        <f t="shared" si="1"/>
        <v>15</v>
      </c>
      <c r="AH19" s="151">
        <f t="shared" si="0"/>
        <v>0.78128562650671751</v>
      </c>
    </row>
    <row r="20" spans="33:34" x14ac:dyDescent="0.25">
      <c r="AG20" s="151">
        <f t="shared" si="1"/>
        <v>16</v>
      </c>
      <c r="AH20" s="151">
        <f t="shared" si="0"/>
        <v>0.80978403319500736</v>
      </c>
    </row>
    <row r="21" spans="33:34" x14ac:dyDescent="0.25">
      <c r="AG21" s="151">
        <f t="shared" si="1"/>
        <v>17</v>
      </c>
      <c r="AH21" s="151">
        <f t="shared" si="0"/>
        <v>0.83909963117728026</v>
      </c>
    </row>
    <row r="22" spans="33:34" x14ac:dyDescent="0.25">
      <c r="AG22" s="151">
        <f t="shared" si="1"/>
        <v>18</v>
      </c>
      <c r="AH22" s="151">
        <f t="shared" si="0"/>
        <v>0.8692867378162269</v>
      </c>
    </row>
    <row r="23" spans="33:34" x14ac:dyDescent="0.25">
      <c r="AG23" s="151">
        <f>AG22+1</f>
        <v>19</v>
      </c>
      <c r="AH23" s="151">
        <f t="shared" si="0"/>
        <v>0.90040404429784016</v>
      </c>
    </row>
    <row r="24" spans="33:34" x14ac:dyDescent="0.25">
      <c r="AG24" s="151">
        <f t="shared" si="1"/>
        <v>20</v>
      </c>
      <c r="AH24" s="151">
        <f t="shared" si="0"/>
        <v>0.93251508613766199</v>
      </c>
    </row>
    <row r="25" spans="33:34" x14ac:dyDescent="0.25">
      <c r="AG25" s="151">
        <f t="shared" si="1"/>
        <v>21</v>
      </c>
      <c r="AH25" s="151">
        <f t="shared" si="0"/>
        <v>0.9656887748070746</v>
      </c>
    </row>
    <row r="26" spans="33:34" x14ac:dyDescent="0.25">
      <c r="AG26" s="151">
        <f t="shared" si="1"/>
        <v>22</v>
      </c>
      <c r="AH26" s="151">
        <f t="shared" si="0"/>
        <v>1.0000000000000004</v>
      </c>
    </row>
    <row r="27" spans="33:34" x14ac:dyDescent="0.25">
      <c r="AG27" s="151">
        <f t="shared" si="1"/>
        <v>23</v>
      </c>
      <c r="AH27" s="151">
        <f t="shared" si="0"/>
        <v>1.0355303137905696</v>
      </c>
    </row>
    <row r="28" spans="33:34" x14ac:dyDescent="0.25">
      <c r="AG28" s="151">
        <f t="shared" si="1"/>
        <v>24</v>
      </c>
      <c r="AH28" s="151">
        <f t="shared" si="0"/>
        <v>1.0723687100246828</v>
      </c>
    </row>
    <row r="29" spans="33:34" x14ac:dyDescent="0.25">
      <c r="AG29" s="151">
        <f t="shared" si="1"/>
        <v>25</v>
      </c>
      <c r="AH29" s="151">
        <f t="shared" si="0"/>
        <v>1.1106125148291932</v>
      </c>
    </row>
    <row r="30" spans="33:34" x14ac:dyDescent="0.25">
      <c r="AG30" s="151">
        <f t="shared" si="1"/>
        <v>26</v>
      </c>
      <c r="AH30" s="151">
        <f t="shared" si="0"/>
        <v>1.1503684072210099</v>
      </c>
    </row>
    <row r="31" spans="33:34" x14ac:dyDescent="0.25">
      <c r="AG31" s="151">
        <f t="shared" si="1"/>
        <v>27</v>
      </c>
      <c r="AH31" s="151">
        <f t="shared" si="0"/>
        <v>1.1917535925942104</v>
      </c>
    </row>
    <row r="32" spans="33:34" x14ac:dyDescent="0.25">
      <c r="AG32" s="151">
        <f>AG31+1</f>
        <v>28</v>
      </c>
      <c r="AH32" s="151">
        <f t="shared" si="0"/>
        <v>1.2348971565350517</v>
      </c>
    </row>
    <row r="33" spans="33:34" x14ac:dyDescent="0.25">
      <c r="AG33" s="151">
        <f t="shared" si="1"/>
        <v>29</v>
      </c>
      <c r="AH33" s="151">
        <f t="shared" si="0"/>
        <v>1.2799416321930792</v>
      </c>
    </row>
    <row r="34" spans="33:34" x14ac:dyDescent="0.25">
      <c r="AG34" s="151">
        <f t="shared" si="1"/>
        <v>30</v>
      </c>
      <c r="AH34" s="151">
        <f t="shared" si="0"/>
        <v>1.3270448216204103</v>
      </c>
    </row>
    <row r="35" spans="33:34" x14ac:dyDescent="0.25">
      <c r="AG35" s="151">
        <f t="shared" si="1"/>
        <v>31</v>
      </c>
      <c r="AH35" s="151">
        <f t="shared" si="0"/>
        <v>1.376381920471174</v>
      </c>
    </row>
    <row r="36" spans="33:34" x14ac:dyDescent="0.25">
      <c r="AG36" s="151">
        <f t="shared" si="1"/>
        <v>32</v>
      </c>
      <c r="AH36" s="151">
        <f t="shared" si="0"/>
        <v>1.4281480067421151</v>
      </c>
    </row>
    <row r="37" spans="33:34" x14ac:dyDescent="0.25">
      <c r="AG37" s="151">
        <f t="shared" si="1"/>
        <v>33</v>
      </c>
      <c r="AH37" s="151">
        <f t="shared" si="0"/>
        <v>1.4825609685127408</v>
      </c>
    </row>
    <row r="38" spans="33:34" x14ac:dyDescent="0.25">
      <c r="AG38" s="151">
        <f t="shared" si="1"/>
        <v>34</v>
      </c>
      <c r="AH38" s="151">
        <f t="shared" si="0"/>
        <v>1.5398649638145836</v>
      </c>
    </row>
    <row r="39" spans="33:34" x14ac:dyDescent="0.25">
      <c r="AG39" s="151">
        <f t="shared" si="1"/>
        <v>35</v>
      </c>
      <c r="AH39" s="151">
        <f t="shared" si="0"/>
        <v>1.6003345290410507</v>
      </c>
    </row>
    <row r="40" spans="33:34" x14ac:dyDescent="0.25">
      <c r="AG40" s="151">
        <f t="shared" si="1"/>
        <v>36</v>
      </c>
      <c r="AH40" s="151">
        <f t="shared" si="0"/>
        <v>1.6642794823505183</v>
      </c>
    </row>
    <row r="41" spans="33:34" x14ac:dyDescent="0.25">
      <c r="AG41" s="151">
        <f t="shared" si="1"/>
        <v>37</v>
      </c>
      <c r="AH41" s="151">
        <f t="shared" si="0"/>
        <v>1.7320508075688781</v>
      </c>
    </row>
    <row r="42" spans="33:34" x14ac:dyDescent="0.25">
      <c r="AG42" s="151">
        <f t="shared" si="1"/>
        <v>38</v>
      </c>
      <c r="AH42" s="151">
        <f t="shared" si="0"/>
        <v>1.8040477552714245</v>
      </c>
    </row>
    <row r="43" spans="33:34" x14ac:dyDescent="0.25">
      <c r="AG43" s="151">
        <f t="shared" si="1"/>
        <v>39</v>
      </c>
      <c r="AH43" s="151">
        <f t="shared" si="0"/>
        <v>1.8807264653463323</v>
      </c>
    </row>
    <row r="44" spans="33:34" x14ac:dyDescent="0.25">
      <c r="AG44" s="151">
        <f t="shared" si="1"/>
        <v>40</v>
      </c>
      <c r="AH44" s="151">
        <f t="shared" si="0"/>
        <v>1.962610505505151</v>
      </c>
    </row>
    <row r="45" spans="33:34" x14ac:dyDescent="0.25">
      <c r="AG45" s="151">
        <f t="shared" si="1"/>
        <v>41</v>
      </c>
      <c r="AH45" s="151">
        <f t="shared" si="0"/>
        <v>2.0503038415792965</v>
      </c>
    </row>
    <row r="46" spans="33:34" x14ac:dyDescent="0.25">
      <c r="AG46" s="151">
        <f t="shared" si="1"/>
        <v>42</v>
      </c>
      <c r="AH46" s="151">
        <f t="shared" si="0"/>
        <v>2.1445069205095595</v>
      </c>
    </row>
    <row r="47" spans="33:34" x14ac:dyDescent="0.25">
      <c r="AG47" s="151">
        <f t="shared" si="1"/>
        <v>43</v>
      </c>
      <c r="AH47" s="151">
        <f t="shared" si="0"/>
        <v>2.2460367739042169</v>
      </c>
    </row>
    <row r="48" spans="33:34" x14ac:dyDescent="0.25">
      <c r="AG48" s="151">
        <f t="shared" si="1"/>
        <v>44</v>
      </c>
      <c r="AH48" s="151">
        <f t="shared" si="0"/>
        <v>2.3558523658237536</v>
      </c>
    </row>
    <row r="49" spans="2:34" x14ac:dyDescent="0.25">
      <c r="AG49" s="151">
        <f t="shared" si="1"/>
        <v>45</v>
      </c>
      <c r="AH49" s="151">
        <f t="shared" si="0"/>
        <v>2.4750868534162969</v>
      </c>
    </row>
    <row r="50" spans="2:34" x14ac:dyDescent="0.25">
      <c r="AG50" s="151">
        <f t="shared" si="1"/>
        <v>46</v>
      </c>
      <c r="AH50" s="151">
        <f t="shared" si="0"/>
        <v>2.6050890646938019</v>
      </c>
    </row>
    <row r="51" spans="2:34" ht="26.25" x14ac:dyDescent="0.4">
      <c r="B51" s="288" t="s">
        <v>278</v>
      </c>
      <c r="C51" s="289"/>
      <c r="D51" s="289"/>
      <c r="E51" s="289"/>
      <c r="F51" s="289"/>
      <c r="G51" s="289"/>
      <c r="H51" s="289"/>
      <c r="I51" s="290"/>
      <c r="AG51" s="151">
        <f t="shared" si="1"/>
        <v>47</v>
      </c>
      <c r="AH51" s="151">
        <f t="shared" si="0"/>
        <v>2.7474774194546239</v>
      </c>
    </row>
    <row r="52" spans="2:34" x14ac:dyDescent="0.25">
      <c r="AG52" s="151">
        <f t="shared" si="1"/>
        <v>48</v>
      </c>
      <c r="AH52" s="151">
        <f t="shared" si="0"/>
        <v>2.9042108776758235</v>
      </c>
    </row>
    <row r="53" spans="2:34" x14ac:dyDescent="0.25">
      <c r="AG53" s="151">
        <f t="shared" si="1"/>
        <v>49</v>
      </c>
      <c r="AH53" s="151">
        <f t="shared" si="0"/>
        <v>3.0776835371752549</v>
      </c>
    </row>
    <row r="54" spans="2:34" x14ac:dyDescent="0.25">
      <c r="AG54" s="151">
        <f t="shared" si="1"/>
        <v>50</v>
      </c>
      <c r="AH54" s="151">
        <f t="shared" si="0"/>
        <v>3.2708526184841427</v>
      </c>
    </row>
    <row r="65" spans="2:9" ht="18.75" x14ac:dyDescent="0.3">
      <c r="B65" s="252" t="s">
        <v>279</v>
      </c>
      <c r="C65" s="252"/>
      <c r="D65" s="252"/>
      <c r="E65" s="252"/>
      <c r="F65" s="252"/>
      <c r="G65" s="252"/>
      <c r="H65" s="252"/>
    </row>
    <row r="66" spans="2:9" ht="18.75" x14ac:dyDescent="0.3">
      <c r="B66" s="252"/>
      <c r="C66" s="252"/>
      <c r="D66" s="252"/>
      <c r="E66" s="252"/>
      <c r="F66" s="252"/>
      <c r="G66" s="252"/>
      <c r="H66" s="252"/>
    </row>
    <row r="67" spans="2:9" ht="18.75" x14ac:dyDescent="0.3">
      <c r="B67" s="252" t="s">
        <v>287</v>
      </c>
      <c r="C67" s="252"/>
      <c r="D67" s="252"/>
      <c r="E67" s="252"/>
      <c r="F67" s="252"/>
      <c r="G67" s="252"/>
      <c r="H67" s="252"/>
    </row>
    <row r="68" spans="2:9" ht="18.75" x14ac:dyDescent="0.3">
      <c r="B68" s="252"/>
      <c r="C68" s="252"/>
      <c r="D68" s="252"/>
      <c r="E68" s="252"/>
      <c r="F68" s="252"/>
      <c r="G68" s="252"/>
      <c r="H68" s="252"/>
    </row>
    <row r="69" spans="2:9" ht="23.25" x14ac:dyDescent="0.35">
      <c r="B69" s="253" t="s">
        <v>282</v>
      </c>
      <c r="C69" s="254"/>
      <c r="D69" s="254"/>
      <c r="E69" s="254"/>
      <c r="F69" s="254"/>
      <c r="G69" s="254"/>
      <c r="H69" s="254"/>
      <c r="I69" s="255"/>
    </row>
    <row r="70" spans="2:9" x14ac:dyDescent="0.25">
      <c r="B70" s="256" t="s">
        <v>280</v>
      </c>
      <c r="C70" s="257">
        <v>41</v>
      </c>
      <c r="D70" s="257" t="s">
        <v>48</v>
      </c>
      <c r="E70" s="257"/>
      <c r="F70" s="257"/>
      <c r="G70" s="257"/>
      <c r="H70" s="257"/>
      <c r="I70" s="258"/>
    </row>
    <row r="71" spans="2:9" x14ac:dyDescent="0.25">
      <c r="B71" s="259" t="s">
        <v>283</v>
      </c>
      <c r="C71" s="260"/>
      <c r="D71" s="260"/>
      <c r="E71" s="260">
        <v>3</v>
      </c>
      <c r="F71" s="260" t="s">
        <v>269</v>
      </c>
      <c r="G71" s="260"/>
      <c r="H71" s="260"/>
      <c r="I71" s="261"/>
    </row>
    <row r="72" spans="2:9" ht="23.25" x14ac:dyDescent="0.35">
      <c r="B72" s="253" t="s">
        <v>284</v>
      </c>
      <c r="C72" s="254"/>
      <c r="D72" s="254"/>
      <c r="E72" s="254"/>
      <c r="F72" s="254"/>
      <c r="G72" s="254"/>
      <c r="H72" s="254"/>
      <c r="I72" s="255"/>
    </row>
    <row r="73" spans="2:9" x14ac:dyDescent="0.25">
      <c r="B73" s="256" t="s">
        <v>281</v>
      </c>
      <c r="C73" s="262">
        <f xml:space="preserve"> 1/TAN((2*PI()*67/360)-(C70*2*PI()/360))</f>
        <v>2.0503038415792965</v>
      </c>
      <c r="D73" s="257" t="s">
        <v>269</v>
      </c>
      <c r="E73" s="257"/>
      <c r="F73" s="257"/>
      <c r="G73" s="257"/>
      <c r="H73" s="257"/>
      <c r="I73" s="258"/>
    </row>
    <row r="74" spans="2:9" x14ac:dyDescent="0.25">
      <c r="B74" s="259" t="s">
        <v>285</v>
      </c>
      <c r="C74" s="263">
        <f>E71*C73</f>
        <v>6.1509115247378894</v>
      </c>
      <c r="D74" s="260" t="s">
        <v>269</v>
      </c>
      <c r="E74" s="260"/>
      <c r="F74" s="260"/>
      <c r="G74" s="260"/>
      <c r="H74" s="260"/>
      <c r="I74" s="261"/>
    </row>
  </sheetData>
  <sheetProtection algorithmName="SHA-512" hashValue="dyyoYB+xjPFvgORmOvTG0z4ndsY7PKrDo73SbnvCID66YF4gKJUHrVaXyySzD2bbf2Y+z4vjLXs2AKG4rZ4neA==" saltValue="gBVDr5kESYgj/Lh+mEOtDA==" spinCount="100000" sheet="1" objects="1" scenarios="1"/>
  <mergeCells count="2">
    <mergeCell ref="B3:I3"/>
    <mergeCell ref="B51:I51"/>
  </mergeCells>
  <hyperlinks>
    <hyperlink ref="L8" r:id="rId1" xr:uid="{00000000-0004-0000-0800-000000000000}"/>
    <hyperlink ref="L7" r:id="rId2" xr:uid="{00000000-0004-0000-0800-000001000000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1_CONSUMOS</vt:lpstr>
      <vt:lpstr>2_H.S.P.</vt:lpstr>
      <vt:lpstr>3_RENDIMIENTO GLOBAL</vt:lpstr>
      <vt:lpstr>4_CÁLCULO PANELES SOLARES</vt:lpstr>
      <vt:lpstr>5_REGULADOR</vt:lpstr>
      <vt:lpstr>6_BATERÍAS</vt:lpstr>
      <vt:lpstr>7_INVERSOR</vt:lpstr>
      <vt:lpstr>8_CABLES</vt:lpstr>
      <vt:lpstr>9_SOMBRAS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LC</cp:lastModifiedBy>
  <dcterms:created xsi:type="dcterms:W3CDTF">2010-03-13T14:24:39Z</dcterms:created>
  <dcterms:modified xsi:type="dcterms:W3CDTF">2018-10-08T22:47:04Z</dcterms:modified>
</cp:coreProperties>
</file>