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Vero Munita\Documents\ACESOL\"/>
    </mc:Choice>
  </mc:AlternateContent>
  <bookViews>
    <workbookView xWindow="0" yWindow="0" windowWidth="20490" windowHeight="7155" tabRatio="912" activeTab="1"/>
  </bookViews>
  <sheets>
    <sheet name="Results" sheetId="25" r:id="rId1"/>
    <sheet name="Main Input-Output" sheetId="18" r:id="rId2"/>
    <sheet name="Cost of operation staff" sheetId="7" r:id="rId3"/>
    <sheet name="PV" sheetId="20" r:id="rId4"/>
    <sheet name="Wind" sheetId="23" r:id="rId5"/>
    <sheet name="Cogen" sheetId="24" r:id="rId6"/>
    <sheet name="Efficiency" sheetId="17" r:id="rId7"/>
    <sheet name="Calc A" sheetId="2" r:id="rId8"/>
    <sheet name="Calc Sensitivity" sheetId="6" r:id="rId9"/>
    <sheet name="Input sensitivity" sheetId="14" r:id="rId10"/>
    <sheet name="Graphs sensitivity" sheetId="22" r:id="rId11"/>
    <sheet name="Credit" sheetId="11" r:id="rId12"/>
    <sheet name="Credit sensitivity" sheetId="12" r:id="rId13"/>
    <sheet name="languages" sheetId="16" r:id="rId14"/>
  </sheets>
  <externalReferences>
    <externalReference r:id="rId15"/>
    <externalReference r:id="rId16"/>
    <externalReference r:id="rId17"/>
  </externalReferences>
  <definedNames>
    <definedName name="_____hgk125" localSheetId="8">#REF!</definedName>
    <definedName name="_____hgk125" localSheetId="10">#REF!</definedName>
    <definedName name="_____hgk125" localSheetId="4">#REF!</definedName>
    <definedName name="_____hgk125">#REF!</definedName>
    <definedName name="_____hgk175" localSheetId="8">#REF!</definedName>
    <definedName name="_____hgk175" localSheetId="10">#REF!</definedName>
    <definedName name="_____hgk175" localSheetId="4">#REF!</definedName>
    <definedName name="_____hgk175">#REF!</definedName>
    <definedName name="_____hgk225" localSheetId="8">#REF!</definedName>
    <definedName name="_____hgk225" localSheetId="10">#REF!</definedName>
    <definedName name="_____hgk225" localSheetId="4">#REF!</definedName>
    <definedName name="_____hgk225">#REF!</definedName>
    <definedName name="_____sm3" localSheetId="8">#REF!</definedName>
    <definedName name="_____sm3" localSheetId="10">#REF!</definedName>
    <definedName name="_____sm3" localSheetId="4">#REF!</definedName>
    <definedName name="_____sm3">#REF!</definedName>
    <definedName name="_____sm4" localSheetId="8">#REF!</definedName>
    <definedName name="_____sm4" localSheetId="10">#REF!</definedName>
    <definedName name="_____sm4" localSheetId="4">#REF!</definedName>
    <definedName name="_____sm4">#REF!</definedName>
    <definedName name="____swp24">[1]time!$E$108</definedName>
    <definedName name="____UNP100">[1]time!$E$70</definedName>
    <definedName name="____UNP120">[1]time!$E$71</definedName>
    <definedName name="_xlnm._FilterDatabase" localSheetId="1" hidden="1">'Main Input-Output'!$A$1:$D$10</definedName>
    <definedName name="ana" localSheetId="8">#REF!</definedName>
    <definedName name="ana" localSheetId="10">#REF!</definedName>
    <definedName name="ana" localSheetId="4">#REF!</definedName>
    <definedName name="ana">#REF!</definedName>
    <definedName name="anb" localSheetId="8">#REF!</definedName>
    <definedName name="anb" localSheetId="10">#REF!</definedName>
    <definedName name="anb" localSheetId="4">#REF!</definedName>
    <definedName name="anb">#REF!</definedName>
    <definedName name="anc" localSheetId="8">#REF!</definedName>
    <definedName name="anc" localSheetId="10">#REF!</definedName>
    <definedName name="anc" localSheetId="4">#REF!</definedName>
    <definedName name="anc">#REF!</definedName>
    <definedName name="_xlnm.Print_Area" localSheetId="10">'Graphs sensitivity'!$A$1:$J$84</definedName>
    <definedName name="b0" localSheetId="8">#REF!</definedName>
    <definedName name="b0" localSheetId="10">#REF!</definedName>
    <definedName name="b0" localSheetId="4">#REF!</definedName>
    <definedName name="b0">#REF!</definedName>
    <definedName name="b0w" localSheetId="8">#REF!</definedName>
    <definedName name="b0w" localSheetId="10">#REF!</definedName>
    <definedName name="b0w" localSheetId="4">#REF!</definedName>
    <definedName name="b0w">#REF!</definedName>
    <definedName name="bata">[1]time!$E$26</definedName>
    <definedName name="bata2">[2]HrgMat!$E$26</definedName>
    <definedName name="batu_kl">[1]time!$E$25</definedName>
    <definedName name="benditake">[1]Sheet1!$D$30</definedName>
    <definedName name="bendtrace">[1]Sheet1!$D$31</definedName>
    <definedName name="besi_btulr">[1]time!$E$66</definedName>
    <definedName name="bno" localSheetId="8">#REF!</definedName>
    <definedName name="bno" localSheetId="10">#REF!</definedName>
    <definedName name="bno" localSheetId="4">#REF!</definedName>
    <definedName name="bno">#REF!</definedName>
    <definedName name="brickm2" localSheetId="8">#REF!</definedName>
    <definedName name="brickm2" localSheetId="10">#REF!</definedName>
    <definedName name="brickm2" localSheetId="4">#REF!</definedName>
    <definedName name="brickm2">#REF!</definedName>
    <definedName name="bturb" localSheetId="8">#REF!</definedName>
    <definedName name="bturb" localSheetId="10">#REF!</definedName>
    <definedName name="bturb" localSheetId="4">#REF!</definedName>
    <definedName name="bturb">#REF!</definedName>
    <definedName name="buisbsa50">[1]time!$E$84</definedName>
    <definedName name="buispconnorein80">[1]time!$E$85</definedName>
    <definedName name="buispconreinB80">[1]time!$E$86</definedName>
    <definedName name="cat_besipst">[1]time!$E$43</definedName>
    <definedName name="cat_bs">[1]time!$E$40</definedName>
    <definedName name="cat_ky">[1]time!$E$37</definedName>
    <definedName name="cat_rol">[1]time!$E$32</definedName>
    <definedName name="cat_tbok">[1]time!$E$31</definedName>
    <definedName name="cor_za">[1]time!$E$72</definedName>
    <definedName name="Dt" localSheetId="8">#REF!</definedName>
    <definedName name="Dt" localSheetId="10">#REF!</definedName>
    <definedName name="Dt" localSheetId="4">#REF!</definedName>
    <definedName name="Dt">#REF!</definedName>
    <definedName name="Dturp" localSheetId="8">#REF!</definedName>
    <definedName name="Dturp" localSheetId="10">#REF!</definedName>
    <definedName name="Dturp" localSheetId="4">#REF!</definedName>
    <definedName name="Dturp">#REF!</definedName>
    <definedName name="eta_opt">'[3]Turbine 1'!$C$13</definedName>
    <definedName name="etaa" localSheetId="8">#REF!</definedName>
    <definedName name="etaa" localSheetId="10">#REF!</definedName>
    <definedName name="etaa" localSheetId="4">#REF!</definedName>
    <definedName name="etaa">#REF!</definedName>
    <definedName name="etab" localSheetId="8">#REF!</definedName>
    <definedName name="etab" localSheetId="10">#REF!</definedName>
    <definedName name="etab" localSheetId="4">#REF!</definedName>
    <definedName name="etab">#REF!</definedName>
    <definedName name="etac" localSheetId="8">#REF!</definedName>
    <definedName name="etac" localSheetId="10">#REF!</definedName>
    <definedName name="etac" localSheetId="4">#REF!</definedName>
    <definedName name="etac">#REF!</definedName>
    <definedName name="etag_max" localSheetId="8">#REF!</definedName>
    <definedName name="etag_max" localSheetId="10">#REF!</definedName>
    <definedName name="etag_max" localSheetId="4">#REF!</definedName>
    <definedName name="etag_max">#REF!</definedName>
    <definedName name="etag_opt" localSheetId="8">#REF!</definedName>
    <definedName name="etag_opt" localSheetId="10">#REF!</definedName>
    <definedName name="etag_opt" localSheetId="4">#REF!</definedName>
    <definedName name="etag_opt">#REF!</definedName>
    <definedName name="etat" localSheetId="8">#REF!</definedName>
    <definedName name="etat" localSheetId="10">#REF!</definedName>
    <definedName name="etat" localSheetId="4">#REF!</definedName>
    <definedName name="etat">#REF!</definedName>
    <definedName name="etat_max" localSheetId="8">#REF!</definedName>
    <definedName name="etat_max" localSheetId="10">#REF!</definedName>
    <definedName name="etat_max" localSheetId="4">#REF!</definedName>
    <definedName name="etat_max">#REF!</definedName>
    <definedName name="etat_maxi" localSheetId="8">#REF!</definedName>
    <definedName name="etat_maxi" localSheetId="10">#REF!</definedName>
    <definedName name="etat_maxi" localSheetId="4">#REF!</definedName>
    <definedName name="etat_maxi">#REF!</definedName>
    <definedName name="etat_opt" localSheetId="8">#REF!</definedName>
    <definedName name="etat_opt" localSheetId="10">#REF!</definedName>
    <definedName name="etat_opt" localSheetId="4">#REF!</definedName>
    <definedName name="etat_opt">#REF!</definedName>
    <definedName name="etat_opti" localSheetId="8">#REF!</definedName>
    <definedName name="etat_opti" localSheetId="10">#REF!</definedName>
    <definedName name="etat_opti" localSheetId="4">#REF!</definedName>
    <definedName name="etat_opti">#REF!</definedName>
    <definedName name="etatr" localSheetId="8">#REF!</definedName>
    <definedName name="etatr" localSheetId="10">#REF!</definedName>
    <definedName name="etatr" localSheetId="4">#REF!</definedName>
    <definedName name="etatr">#REF!</definedName>
    <definedName name="exsoil" localSheetId="8">#REF!</definedName>
    <definedName name="exsoil" localSheetId="10">#REF!</definedName>
    <definedName name="exsoil" localSheetId="4">#REF!</definedName>
    <definedName name="exsoil">#REF!</definedName>
    <definedName name="f_1" localSheetId="8">#REF!</definedName>
    <definedName name="f_1" localSheetId="10">#REF!</definedName>
    <definedName name="f_1" localSheetId="4">#REF!</definedName>
    <definedName name="f_1">#REF!</definedName>
    <definedName name="f_2" localSheetId="8">#REF!</definedName>
    <definedName name="f_2" localSheetId="10">#REF!</definedName>
    <definedName name="f_2" localSheetId="4">#REF!</definedName>
    <definedName name="f_2">#REF!</definedName>
    <definedName name="f_3" localSheetId="8">#REF!</definedName>
    <definedName name="f_3" localSheetId="10">#REF!</definedName>
    <definedName name="f_3" localSheetId="4">#REF!</definedName>
    <definedName name="f_3">#REF!</definedName>
    <definedName name="f_4" localSheetId="8">#REF!</definedName>
    <definedName name="f_4" localSheetId="10">#REF!</definedName>
    <definedName name="f_4" localSheetId="4">#REF!</definedName>
    <definedName name="f_4">#REF!</definedName>
    <definedName name="f_5" localSheetId="8">#REF!</definedName>
    <definedName name="f_5" localSheetId="10">#REF!</definedName>
    <definedName name="f_5" localSheetId="4">#REF!</definedName>
    <definedName name="f_5">#REF!</definedName>
    <definedName name="GP" localSheetId="8">#REF!</definedName>
    <definedName name="GP" localSheetId="10">#REF!</definedName>
    <definedName name="GP" localSheetId="4">#REF!</definedName>
    <definedName name="GP">#REF!</definedName>
    <definedName name="hampbs2">[1]time!$E$42</definedName>
    <definedName name="hampky">[1]time!$E$34</definedName>
    <definedName name="handle">[1]time!$E$80</definedName>
    <definedName name="hgasu">[1]Sheet1!$D$8</definedName>
    <definedName name="hgbggal">[1]Sheet1!$D$15</definedName>
    <definedName name="hgbisbsa" localSheetId="8">#REF!</definedName>
    <definedName name="hgbisbsa" localSheetId="10">#REF!</definedName>
    <definedName name="hgbisbsa" localSheetId="4">#REF!</definedName>
    <definedName name="hgbisbsa">#REF!</definedName>
    <definedName name="hgbisnorein" localSheetId="8">#REF!</definedName>
    <definedName name="hgbisnorein" localSheetId="10">#REF!</definedName>
    <definedName name="hgbisnorein" localSheetId="4">#REF!</definedName>
    <definedName name="hgbisnorein">#REF!</definedName>
    <definedName name="hgbisreinb" localSheetId="8">#REF!</definedName>
    <definedName name="hgbisreinb" localSheetId="10">#REF!</definedName>
    <definedName name="hgbisreinb" localSheetId="4">#REF!</definedName>
    <definedName name="hgbisreinb">#REF!</definedName>
    <definedName name="hgbron" localSheetId="8">#REF!</definedName>
    <definedName name="hgbron" localSheetId="10">#REF!</definedName>
    <definedName name="hgbron" localSheetId="4">#REF!</definedName>
    <definedName name="hgbron">#REF!</definedName>
    <definedName name="hgbsbt" localSheetId="8">#REF!</definedName>
    <definedName name="hgbsbt" localSheetId="10">#REF!</definedName>
    <definedName name="hgbsbt" localSheetId="4">#REF!</definedName>
    <definedName name="hgbsbt">#REF!</definedName>
    <definedName name="hgcatbesi" localSheetId="8">#REF!</definedName>
    <definedName name="hgcatbesi" localSheetId="10">#REF!</definedName>
    <definedName name="hgcatbesi" localSheetId="4">#REF!</definedName>
    <definedName name="hgcatbesi">#REF!</definedName>
    <definedName name="hgcatky" localSheetId="8">#REF!</definedName>
    <definedName name="hgcatky" localSheetId="10">#REF!</definedName>
    <definedName name="hgcatky" localSheetId="4">#REF!</definedName>
    <definedName name="hgcatky">#REF!</definedName>
    <definedName name="hgcattbok" localSheetId="8">#REF!</definedName>
    <definedName name="hgcattbok" localSheetId="10">#REF!</definedName>
    <definedName name="hgcattbok" localSheetId="4">#REF!</definedName>
    <definedName name="hgcattbok">#REF!</definedName>
    <definedName name="hgcetbt" localSheetId="8">#REF!</definedName>
    <definedName name="hgcetbt" localSheetId="10">#REF!</definedName>
    <definedName name="hgcetbt" localSheetId="4">#REF!</definedName>
    <definedName name="hgcetbt">#REF!</definedName>
    <definedName name="hgcnp" localSheetId="8">#REF!</definedName>
    <definedName name="hgcnp" localSheetId="10">#REF!</definedName>
    <definedName name="hgcnp" localSheetId="4">#REF!</definedName>
    <definedName name="hgcnp">#REF!</definedName>
    <definedName name="hgcorza" localSheetId="8">#REF!</definedName>
    <definedName name="hgcorza" localSheetId="10">#REF!</definedName>
    <definedName name="hgcorza" localSheetId="4">#REF!</definedName>
    <definedName name="hgcorza">#REF!</definedName>
    <definedName name="hgcyclop" localSheetId="8">#REF!</definedName>
    <definedName name="hgcyclop" localSheetId="10">#REF!</definedName>
    <definedName name="hgcyclop" localSheetId="4">#REF!</definedName>
    <definedName name="hgcyclop">#REF!</definedName>
    <definedName name="hggalaber">[1]Sheet1!$D$14</definedName>
    <definedName name="hggalbt" localSheetId="8">#REF!</definedName>
    <definedName name="hggalbt" localSheetId="10">#REF!</definedName>
    <definedName name="hggalbt" localSheetId="4">#REF!</definedName>
    <definedName name="hggalbt">#REF!</definedName>
    <definedName name="hggaltnh" localSheetId="8">#REF!</definedName>
    <definedName name="hggaltnh" localSheetId="10">#REF!</definedName>
    <definedName name="hggaltnh" localSheetId="4">#REF!</definedName>
    <definedName name="hggaltnh">#REF!</definedName>
    <definedName name="hgiwf" localSheetId="8">#REF!</definedName>
    <definedName name="hgiwf" localSheetId="10">#REF!</definedName>
    <definedName name="hgiwf" localSheetId="4">#REF!</definedName>
    <definedName name="hgiwf">#REF!</definedName>
    <definedName name="hglmpsto" localSheetId="8">#REF!</definedName>
    <definedName name="hglmpsto" localSheetId="10">#REF!</definedName>
    <definedName name="hglmpsto" localSheetId="4">#REF!</definedName>
    <definedName name="hglmpsto">#REF!</definedName>
    <definedName name="hglplang" localSheetId="8">#REF!</definedName>
    <definedName name="hglplang" localSheetId="10">#REF!</definedName>
    <definedName name="hglplang" localSheetId="4">#REF!</definedName>
    <definedName name="hglplang">#REF!</definedName>
    <definedName name="hgmobdemob">[1]Sheet1!$D$6</definedName>
    <definedName name="hgnat">[1]Sheet1!$D$27</definedName>
    <definedName name="hgparky" localSheetId="8">#REF!</definedName>
    <definedName name="hgparky" localSheetId="10">#REF!</definedName>
    <definedName name="hgparky" localSheetId="4">#REF!</definedName>
    <definedName name="hgparky">#REF!</definedName>
    <definedName name="hgpgrdr" localSheetId="8">#REF!</definedName>
    <definedName name="hgpgrdr" localSheetId="10">#REF!</definedName>
    <definedName name="hgpgrdr" localSheetId="4">#REF!</definedName>
    <definedName name="hgpgrdr">#REF!</definedName>
    <definedName name="hgplap">[1]Sheet1!$D$9</definedName>
    <definedName name="hgplapsto">[1]Sheet1!$D$10</definedName>
    <definedName name="hgples12" localSheetId="8">#REF!</definedName>
    <definedName name="hgples12" localSheetId="10">#REF!</definedName>
    <definedName name="hgples12" localSheetId="4">#REF!</definedName>
    <definedName name="hgples12">#REF!</definedName>
    <definedName name="hgples15" localSheetId="8">#REF!</definedName>
    <definedName name="hgples15" localSheetId="10">#REF!</definedName>
    <definedName name="hgples15" localSheetId="4">#REF!</definedName>
    <definedName name="hgples15">#REF!</definedName>
    <definedName name="hgplesbt15" localSheetId="8">#REF!</definedName>
    <definedName name="hgplesbt15" localSheetId="10">#REF!</definedName>
    <definedName name="hgplesbt15" localSheetId="4">#REF!</definedName>
    <definedName name="hgplesbt15">#REF!</definedName>
    <definedName name="hgpmkon">[1]Sheet1!$D$7</definedName>
    <definedName name="hgpsbm13" localSheetId="8">#REF!</definedName>
    <definedName name="hgpsbm13" localSheetId="10">#REF!</definedName>
    <definedName name="hgpsbm13" localSheetId="4">#REF!</definedName>
    <definedName name="hgpsbm13">#REF!</definedName>
    <definedName name="hgpsbt13" localSheetId="8">#REF!</definedName>
    <definedName name="hgpsbt13" localSheetId="10">#REF!</definedName>
    <definedName name="hgpsbt13" localSheetId="4">#REF!</definedName>
    <definedName name="hgpsbt13">#REF!</definedName>
    <definedName name="hgpsbt14" localSheetId="8">#REF!</definedName>
    <definedName name="hgpsbt14" localSheetId="10">#REF!</definedName>
    <definedName name="hgpsbt14" localSheetId="4">#REF!</definedName>
    <definedName name="hgpsbt14">#REF!</definedName>
    <definedName name="hgrwp7604" localSheetId="8">#REF!</definedName>
    <definedName name="hgrwp7604" localSheetId="10">#REF!</definedName>
    <definedName name="hgrwp7604" localSheetId="4">#REF!</definedName>
    <definedName name="hgrwp7604">#REF!</definedName>
    <definedName name="hgslcgt_strap" localSheetId="8">#REF!</definedName>
    <definedName name="hgslcgt_strap" localSheetId="10">#REF!</definedName>
    <definedName name="hgslcgt_strap" localSheetId="4">#REF!</definedName>
    <definedName name="hgslcgt_strap">#REF!</definedName>
    <definedName name="hgslcgt_weir" localSheetId="8">#REF!</definedName>
    <definedName name="hgslcgt_weir" localSheetId="10">#REF!</definedName>
    <definedName name="hgslcgt_weir" localSheetId="4">#REF!</definedName>
    <definedName name="hgslcgt_weir">#REF!</definedName>
    <definedName name="hgsldgt_hrace" localSheetId="8">#REF!</definedName>
    <definedName name="hgsldgt_hrace" localSheetId="10">#REF!</definedName>
    <definedName name="hgsldgt_hrace" localSheetId="4">#REF!</definedName>
    <definedName name="hgsldgt_hrace">#REF!</definedName>
    <definedName name="hgsldgt_intake" localSheetId="8">#REF!</definedName>
    <definedName name="hgsldgt_intake" localSheetId="10">#REF!</definedName>
    <definedName name="hgsldgt_intake" localSheetId="4">#REF!</definedName>
    <definedName name="hgsldgt_intake">#REF!</definedName>
    <definedName name="hgsldgt_sway" localSheetId="8">#REF!</definedName>
    <definedName name="hgsldgt_sway" localSheetId="10">#REF!</definedName>
    <definedName name="hgsldgt_sway" localSheetId="4">#REF!</definedName>
    <definedName name="hgsldgt_sway">#REF!</definedName>
    <definedName name="hgstpole" localSheetId="8">#REF!</definedName>
    <definedName name="hgstpole" localSheetId="10">#REF!</definedName>
    <definedName name="hgstpole" localSheetId="4">#REF!</definedName>
    <definedName name="hgstpole">#REF!</definedName>
    <definedName name="hgswp246" localSheetId="8">#REF!</definedName>
    <definedName name="hgswp246" localSheetId="10">#REF!</definedName>
    <definedName name="hgswp246" localSheetId="4">#REF!</definedName>
    <definedName name="hgswp246">#REF!</definedName>
    <definedName name="hgtatabt" localSheetId="8">#REF!</definedName>
    <definedName name="hgtatabt" localSheetId="10">#REF!</definedName>
    <definedName name="hgtatabt" localSheetId="4">#REF!</definedName>
    <definedName name="hgtatabt">#REF!</definedName>
    <definedName name="hgtrack_sip" localSheetId="8">#REF!</definedName>
    <definedName name="hgtrack_sip" localSheetId="10">#REF!</definedName>
    <definedName name="hgtrack_sip" localSheetId="4">#REF!</definedName>
    <definedName name="hgtrack_sip">#REF!</definedName>
    <definedName name="hgtrack_sto" localSheetId="8">#REF!</definedName>
    <definedName name="hgtrack_sto" localSheetId="10">#REF!</definedName>
    <definedName name="hgtrack_sto" localSheetId="4">#REF!</definedName>
    <definedName name="hgtrack_sto">#REF!</definedName>
    <definedName name="hgtrack_strap" localSheetId="8">#REF!</definedName>
    <definedName name="hgtrack_strap" localSheetId="10">#REF!</definedName>
    <definedName name="hgtrack_strap" localSheetId="4">#REF!</definedName>
    <definedName name="hgtrack_strap">#REF!</definedName>
    <definedName name="hgurgkrk" localSheetId="8">#REF!</definedName>
    <definedName name="hgurgkrk" localSheetId="10">#REF!</definedName>
    <definedName name="hgurgkrk" localSheetId="4">#REF!</definedName>
    <definedName name="hgurgkrk">#REF!</definedName>
    <definedName name="hgurgpsr" localSheetId="8">#REF!</definedName>
    <definedName name="hgurgpsr" localSheetId="10">#REF!</definedName>
    <definedName name="hgurgpsr" localSheetId="4">#REF!</definedName>
    <definedName name="hgurgpsr">#REF!</definedName>
    <definedName name="hgurgtnh" localSheetId="8">#REF!</definedName>
    <definedName name="hgurgtnh" localSheetId="10">#REF!</definedName>
    <definedName name="hgurgtnh" localSheetId="4">#REF!</definedName>
    <definedName name="hgurgtnh">#REF!</definedName>
    <definedName name="hgwinacor" localSheetId="8">#REF!</definedName>
    <definedName name="hgwinacor" localSheetId="10">#REF!</definedName>
    <definedName name="hgwinacor" localSheetId="4">#REF!</definedName>
    <definedName name="hgwinacor">#REF!</definedName>
    <definedName name="Hnet" localSheetId="8">#REF!</definedName>
    <definedName name="Hnet" localSheetId="10">#REF!</definedName>
    <definedName name="Hnet" localSheetId="4">#REF!</definedName>
    <definedName name="Hnet">#REF!</definedName>
    <definedName name="Hnet1">'[3]Turbine 1'!$C$4</definedName>
    <definedName name="Hnetr" localSheetId="8">#REF!</definedName>
    <definedName name="Hnetr" localSheetId="10">#REF!</definedName>
    <definedName name="Hnetr" localSheetId="4">#REF!</definedName>
    <definedName name="Hnetr">#REF!</definedName>
    <definedName name="i" localSheetId="8">#REF!</definedName>
    <definedName name="i" localSheetId="10">#REF!</definedName>
    <definedName name="i" localSheetId="4">#REF!</definedName>
    <definedName name="i">#REF!</definedName>
    <definedName name="i_s" localSheetId="8">#REF!</definedName>
    <definedName name="i_s" localSheetId="10">#REF!</definedName>
    <definedName name="i_s" localSheetId="4">#REF!</definedName>
    <definedName name="i_s">#REF!</definedName>
    <definedName name="irr" localSheetId="8">#REF!</definedName>
    <definedName name="irr" localSheetId="10">#REF!</definedName>
    <definedName name="irr" localSheetId="4">#REF!</definedName>
    <definedName name="irr">#REF!</definedName>
    <definedName name="IT" localSheetId="8">#REF!</definedName>
    <definedName name="IT" localSheetId="10">#REF!</definedName>
    <definedName name="IT" localSheetId="4">#REF!</definedName>
    <definedName name="IT">#REF!</definedName>
    <definedName name="IWF">[1]time!$E$69</definedName>
    <definedName name="katkg">[1]time!$E$13</definedName>
    <definedName name="katkg_bsbt">[1]time!$E$14</definedName>
    <definedName name="katkg_kycet">[1]time!$E$15</definedName>
    <definedName name="kerikil_bt">[1]time!$E$22</definedName>
    <definedName name="kerikil_drain">[1]time!$E$23</definedName>
    <definedName name="ktb" localSheetId="8">#REF!</definedName>
    <definedName name="ktb" localSheetId="10">#REF!</definedName>
    <definedName name="ktb" localSheetId="4">#REF!</definedName>
    <definedName name="ktb">#REF!</definedName>
    <definedName name="ktk" localSheetId="8">#REF!</definedName>
    <definedName name="ktk" localSheetId="10">#REF!</definedName>
    <definedName name="ktk" localSheetId="4">#REF!</definedName>
    <definedName name="ktk">#REF!</definedName>
    <definedName name="kuas3i">[1]time!$E$38</definedName>
    <definedName name="kwt_bt">[1]time!$E$62</definedName>
    <definedName name="kwt_dr">[1]time!$E$64</definedName>
    <definedName name="kwt_gal3">[1]time!$E$61</definedName>
    <definedName name="kwt_las">[1]time!$E$63</definedName>
    <definedName name="ky_borsup">[1]time!$E$49</definedName>
    <definedName name="ky_cet">[1]time!$E$50</definedName>
    <definedName name="ky_kammdn">[1]time!$E$46</definedName>
    <definedName name="l_50506">[1]time!$E$73</definedName>
    <definedName name="lem">[1]time!$E$54</definedName>
    <definedName name="loan" localSheetId="8">#REF!</definedName>
    <definedName name="loan" localSheetId="10">#REF!</definedName>
    <definedName name="loan" localSheetId="4">#REF!</definedName>
    <definedName name="loan">#REF!</definedName>
    <definedName name="LP" localSheetId="8">#REF!</definedName>
    <definedName name="LP" localSheetId="10">#REF!</definedName>
    <definedName name="LP" localSheetId="4">#REF!</definedName>
    <definedName name="LP">#REF!</definedName>
    <definedName name="man" localSheetId="8">#REF!</definedName>
    <definedName name="man" localSheetId="10">#REF!</definedName>
    <definedName name="man" localSheetId="4">#REF!</definedName>
    <definedName name="man">#REF!</definedName>
    <definedName name="mandor">[1]time!$E$16</definedName>
    <definedName name="meni_ky">[1]time!$E$36</definedName>
    <definedName name="mess" localSheetId="8">#REF!</definedName>
    <definedName name="mess" localSheetId="10">#REF!</definedName>
    <definedName name="mess" localSheetId="4">#REF!</definedName>
    <definedName name="mess">#REF!</definedName>
    <definedName name="muS" localSheetId="8">#REF!</definedName>
    <definedName name="muS" localSheetId="10">#REF!</definedName>
    <definedName name="muS" localSheetId="4">#REF!</definedName>
    <definedName name="muS">#REF!</definedName>
    <definedName name="n_11" localSheetId="8">#REF!</definedName>
    <definedName name="n_11" localSheetId="10">#REF!</definedName>
    <definedName name="n_11" localSheetId="4">#REF!</definedName>
    <definedName name="n_11">#REF!</definedName>
    <definedName name="n11r" localSheetId="8">#REF!</definedName>
    <definedName name="n11r" localSheetId="10">#REF!</definedName>
    <definedName name="n11r" localSheetId="4">#REF!</definedName>
    <definedName name="n11r">#REF!</definedName>
    <definedName name="ngen" localSheetId="8">#REF!</definedName>
    <definedName name="ngen" localSheetId="10">#REF!</definedName>
    <definedName name="ngen" localSheetId="4">#REF!</definedName>
    <definedName name="ngen">#REF!</definedName>
    <definedName name="nt" localSheetId="8">#REF!</definedName>
    <definedName name="nt" localSheetId="10">#REF!</definedName>
    <definedName name="nt" localSheetId="4">#REF!</definedName>
    <definedName name="nt">#REF!</definedName>
    <definedName name="nturb" localSheetId="8">#REF!</definedName>
    <definedName name="nturb" localSheetId="10">#REF!</definedName>
    <definedName name="nturb" localSheetId="4">#REF!</definedName>
    <definedName name="nturb">#REF!</definedName>
    <definedName name="ntw" localSheetId="8">#REF!</definedName>
    <definedName name="ntw" localSheetId="10">#REF!</definedName>
    <definedName name="ntw" localSheetId="4">#REF!</definedName>
    <definedName name="ntw">#REF!</definedName>
    <definedName name="ntw_opt" localSheetId="8">#REF!</definedName>
    <definedName name="ntw_opt" localSheetId="10">#REF!</definedName>
    <definedName name="ntw_opt" localSheetId="4">#REF!</definedName>
    <definedName name="ntw_opt">#REF!</definedName>
    <definedName name="P_2" localSheetId="8">#REF!</definedName>
    <definedName name="P_2" localSheetId="10">#REF!</definedName>
    <definedName name="P_2" localSheetId="4">#REF!</definedName>
    <definedName name="P_2">#REF!</definedName>
    <definedName name="P_G" localSheetId="8">#REF!</definedName>
    <definedName name="P_G" localSheetId="10">#REF!</definedName>
    <definedName name="P_G" localSheetId="4">#REF!</definedName>
    <definedName name="P_G">#REF!</definedName>
    <definedName name="P_n" localSheetId="8">#REF!</definedName>
    <definedName name="P_n" localSheetId="10">#REF!</definedName>
    <definedName name="P_n" localSheetId="4">#REF!</definedName>
    <definedName name="P_n">#REF!</definedName>
    <definedName name="P_nn" localSheetId="8">#REF!</definedName>
    <definedName name="P_nn" localSheetId="10">#REF!</definedName>
    <definedName name="P_nn" localSheetId="4">#REF!</definedName>
    <definedName name="P_nn">#REF!</definedName>
    <definedName name="paku">[1]time!$E$52</definedName>
    <definedName name="paku_sbt">[1]time!$E$53</definedName>
    <definedName name="pc" localSheetId="8">#REF!</definedName>
    <definedName name="pc" localSheetId="10">#REF!</definedName>
    <definedName name="pc" localSheetId="4">#REF!</definedName>
    <definedName name="pc">#REF!</definedName>
    <definedName name="Pe_max" localSheetId="8">#REF!</definedName>
    <definedName name="Pe_max" localSheetId="10">#REF!</definedName>
    <definedName name="Pe_max" localSheetId="4">#REF!</definedName>
    <definedName name="Pe_max">#REF!</definedName>
    <definedName name="Pe_opt" localSheetId="8">#REF!</definedName>
    <definedName name="Pe_opt" localSheetId="10">#REF!</definedName>
    <definedName name="Pe_opt" localSheetId="4">#REF!</definedName>
    <definedName name="Pe_opt">#REF!</definedName>
    <definedName name="peak" localSheetId="8">#REF!</definedName>
    <definedName name="peak" localSheetId="10">#REF!</definedName>
    <definedName name="peak" localSheetId="4">#REF!</definedName>
    <definedName name="peak">#REF!</definedName>
    <definedName name="pek" localSheetId="8">#REF!</definedName>
    <definedName name="pek" localSheetId="10">#REF!</definedName>
    <definedName name="pek" localSheetId="4">#REF!</definedName>
    <definedName name="pek">#REF!</definedName>
    <definedName name="pkj">[1]time!$E$7</definedName>
    <definedName name="plas2" localSheetId="8">#REF!</definedName>
    <definedName name="plas2" localSheetId="10">#REF!</definedName>
    <definedName name="plas2" localSheetId="4">#REF!</definedName>
    <definedName name="plas2">#REF!</definedName>
    <definedName name="plas5" localSheetId="8">#REF!</definedName>
    <definedName name="plas5" localSheetId="10">#REF!</definedName>
    <definedName name="plas5" localSheetId="4">#REF!</definedName>
    <definedName name="plas5">#REF!</definedName>
    <definedName name="plat3mm">[1]time!$E$67</definedName>
    <definedName name="plmir_ky">[1]time!$E$35</definedName>
    <definedName name="plmir_tbok">[1]time!$E$30</definedName>
    <definedName name="pp" localSheetId="8">#REF!</definedName>
    <definedName name="pp" localSheetId="10">#REF!</definedName>
    <definedName name="pp" localSheetId="4">#REF!</definedName>
    <definedName name="pp">#REF!</definedName>
    <definedName name="psr_bt">[1]time!$E$21</definedName>
    <definedName name="psr_psg">[1]time!$E$20</definedName>
    <definedName name="psr_urg">[1]time!$E$19</definedName>
    <definedName name="Pt" localSheetId="8">#REF!</definedName>
    <definedName name="Pt" localSheetId="10">#REF!</definedName>
    <definedName name="Pt" localSheetId="4">#REF!</definedName>
    <definedName name="Pt">#REF!</definedName>
    <definedName name="Pt_max" localSheetId="8">#REF!</definedName>
    <definedName name="Pt_max" localSheetId="10">#REF!</definedName>
    <definedName name="Pt_max" localSheetId="4">#REF!</definedName>
    <definedName name="Pt_max">#REF!</definedName>
    <definedName name="Pt_opt" localSheetId="8">#REF!</definedName>
    <definedName name="Pt_opt" localSheetId="10">#REF!</definedName>
    <definedName name="Pt_opt" localSheetId="4">#REF!</definedName>
    <definedName name="Pt_opt">#REF!</definedName>
    <definedName name="Ptw" localSheetId="8">#REF!</definedName>
    <definedName name="Ptw" localSheetId="10">#REF!</definedName>
    <definedName name="Ptw" localSheetId="4">#REF!</definedName>
    <definedName name="Ptw">#REF!</definedName>
    <definedName name="Ptw_max" localSheetId="8">#REF!</definedName>
    <definedName name="Ptw_max" localSheetId="10">#REF!</definedName>
    <definedName name="Ptw_max" localSheetId="4">#REF!</definedName>
    <definedName name="Ptw_max">#REF!</definedName>
    <definedName name="Ptw_opt" localSheetId="8">#REF!</definedName>
    <definedName name="Ptw_opt" localSheetId="10">#REF!</definedName>
    <definedName name="Ptw_opt" localSheetId="4">#REF!</definedName>
    <definedName name="Ptw_opt">#REF!</definedName>
    <definedName name="PVC4i">[1]time!$E$87</definedName>
    <definedName name="PVC8i">[1]time!$E$88</definedName>
    <definedName name="Q_11" localSheetId="8">#REF!</definedName>
    <definedName name="Q_11" localSheetId="10">#REF!</definedName>
    <definedName name="Q_11" localSheetId="4">#REF!</definedName>
    <definedName name="Q_11">#REF!</definedName>
    <definedName name="Q_11max" localSheetId="8">#REF!</definedName>
    <definedName name="Q_11max" localSheetId="10">#REF!</definedName>
    <definedName name="Q_11max" localSheetId="4">#REF!</definedName>
    <definedName name="Q_11max">#REF!</definedName>
    <definedName name="Q_11maxi" localSheetId="8">#REF!</definedName>
    <definedName name="Q_11maxi" localSheetId="10">#REF!</definedName>
    <definedName name="Q_11maxi" localSheetId="4">#REF!</definedName>
    <definedName name="Q_11maxi">#REF!</definedName>
    <definedName name="Q_11opt" localSheetId="8">#REF!</definedName>
    <definedName name="Q_11opt" localSheetId="10">#REF!</definedName>
    <definedName name="Q_11opt" localSheetId="4">#REF!</definedName>
    <definedName name="Q_11opt">#REF!</definedName>
    <definedName name="Q_11opti" localSheetId="8">#REF!</definedName>
    <definedName name="Q_11opti" localSheetId="10">#REF!</definedName>
    <definedName name="Q_11opti" localSheetId="4">#REF!</definedName>
    <definedName name="Q_11opti">#REF!</definedName>
    <definedName name="Q11netr" localSheetId="8">#REF!</definedName>
    <definedName name="Q11netr" localSheetId="10">#REF!</definedName>
    <definedName name="Q11netr" localSheetId="4">#REF!</definedName>
    <definedName name="Q11netr">#REF!</definedName>
    <definedName name="q1a" localSheetId="8">#REF!</definedName>
    <definedName name="q1a" localSheetId="10">#REF!</definedName>
    <definedName name="q1a" localSheetId="4">#REF!</definedName>
    <definedName name="q1a">#REF!</definedName>
    <definedName name="q1b" localSheetId="8">#REF!</definedName>
    <definedName name="q1b" localSheetId="10">#REF!</definedName>
    <definedName name="q1b" localSheetId="4">#REF!</definedName>
    <definedName name="q1b">#REF!</definedName>
    <definedName name="q1c" localSheetId="8">#REF!</definedName>
    <definedName name="q1c" localSheetId="10">#REF!</definedName>
    <definedName name="q1c" localSheetId="4">#REF!</definedName>
    <definedName name="q1c">#REF!</definedName>
    <definedName name="Qow" localSheetId="8">#REF!</definedName>
    <definedName name="Qow" localSheetId="10">#REF!</definedName>
    <definedName name="Qow" localSheetId="4">#REF!</definedName>
    <definedName name="Qow">#REF!</definedName>
    <definedName name="qpa" localSheetId="8">#REF!</definedName>
    <definedName name="qpa" localSheetId="10">#REF!</definedName>
    <definedName name="qpa" localSheetId="4">#REF!</definedName>
    <definedName name="qpa">#REF!</definedName>
    <definedName name="qpb" localSheetId="8">#REF!</definedName>
    <definedName name="qpb" localSheetId="10">#REF!</definedName>
    <definedName name="qpb" localSheetId="4">#REF!</definedName>
    <definedName name="qpb">#REF!</definedName>
    <definedName name="qpc" localSheetId="8">#REF!</definedName>
    <definedName name="qpc" localSheetId="10">#REF!</definedName>
    <definedName name="qpc" localSheetId="4">#REF!</definedName>
    <definedName name="qpc">#REF!</definedName>
    <definedName name="Qr">'[3]Turbine 2x2'!$C$5</definedName>
    <definedName name="Qt" localSheetId="8">#REF!</definedName>
    <definedName name="Qt" localSheetId="10">#REF!</definedName>
    <definedName name="Qt" localSheetId="4">#REF!</definedName>
    <definedName name="Qt">#REF!</definedName>
    <definedName name="Qtw" localSheetId="8">#REF!</definedName>
    <definedName name="Qtw" localSheetId="10">#REF!</definedName>
    <definedName name="Qtw" localSheetId="4">#REF!</definedName>
    <definedName name="Qtw">#REF!</definedName>
    <definedName name="Qtw_max" localSheetId="8">#REF!</definedName>
    <definedName name="Qtw_max" localSheetId="10">#REF!</definedName>
    <definedName name="Qtw_max" localSheetId="4">#REF!</definedName>
    <definedName name="Qtw_max">#REF!</definedName>
    <definedName name="Qtw_opt" localSheetId="8">#REF!</definedName>
    <definedName name="Qtw_opt" localSheetId="10">#REF!</definedName>
    <definedName name="Qtw_opt" localSheetId="4">#REF!</definedName>
    <definedName name="Qtw_opt">#REF!</definedName>
    <definedName name="relats">[1]time!$E$76</definedName>
    <definedName name="relbwh">[1]time!$E$77</definedName>
    <definedName name="rodats">[1]time!$E$78</definedName>
    <definedName name="rodbwh">[1]time!$E$79</definedName>
    <definedName name="rwp760_4">[1]time!$E$105</definedName>
    <definedName name="rwp760_4las">[1]time!$E$107</definedName>
    <definedName name="rwp760_4rol">[1]time!$E$106</definedName>
    <definedName name="semen">[1]time!$E$27</definedName>
    <definedName name="SI" localSheetId="8">#REF!</definedName>
    <definedName name="SI" localSheetId="10">#REF!</definedName>
    <definedName name="SI" localSheetId="4">#REF!</definedName>
    <definedName name="SI">#REF!</definedName>
    <definedName name="SL" localSheetId="8">#REF!</definedName>
    <definedName name="SL" localSheetId="10">#REF!</definedName>
    <definedName name="SL" localSheetId="4">#REF!</definedName>
    <definedName name="SL">#REF!</definedName>
    <definedName name="slot">[1]time!$E$81</definedName>
    <definedName name="steger">[1]time!$E$33</definedName>
    <definedName name="swp24_las">[1]time!$E$110</definedName>
    <definedName name="swp24_tr">[1]time!$E$109</definedName>
    <definedName name="tb" localSheetId="8">#REF!</definedName>
    <definedName name="tb" localSheetId="10">#REF!</definedName>
    <definedName name="tb" localSheetId="4">#REF!</definedName>
    <definedName name="tb">#REF!</definedName>
    <definedName name="tiner">[1]time!$E$41</definedName>
    <definedName name="tk" localSheetId="8">#REF!</definedName>
    <definedName name="tk" localSheetId="10">#REF!</definedName>
    <definedName name="tk" localSheetId="4">#REF!</definedName>
    <definedName name="tk">#REF!</definedName>
    <definedName name="tkg">[1]time!$E$8</definedName>
    <definedName name="tkg_bong">[1]time!$E$11</definedName>
    <definedName name="tkg_bsbt">[1]time!$E$9</definedName>
    <definedName name="tkg_kycet">[1]time!$E$10</definedName>
    <definedName name="tplex4">[1]time!$E$51</definedName>
  </definedNames>
  <calcPr calcId="152511"/>
</workbook>
</file>

<file path=xl/calcChain.xml><?xml version="1.0" encoding="utf-8"?>
<calcChain xmlns="http://schemas.openxmlformats.org/spreadsheetml/2006/main">
  <c r="A282" i="16" l="1"/>
  <c r="F15" i="11" s="1"/>
  <c r="F15" i="12"/>
  <c r="A210" i="16"/>
  <c r="A83" i="2"/>
  <c r="A83" i="6" s="1"/>
  <c r="A211" i="16"/>
  <c r="A84" i="2" s="1"/>
  <c r="A84" i="6"/>
  <c r="A175" i="16"/>
  <c r="A47" i="2"/>
  <c r="A47" i="6" s="1"/>
  <c r="A165" i="16"/>
  <c r="A39" i="2" s="1"/>
  <c r="A39" i="6"/>
  <c r="A354" i="16"/>
  <c r="A17" i="17"/>
  <c r="P15" i="17"/>
  <c r="P14" i="17"/>
  <c r="C8" i="20"/>
  <c r="C27" i="20"/>
  <c r="C29" i="20" s="1"/>
  <c r="C6" i="20"/>
  <c r="B5" i="18" s="1"/>
  <c r="C22" i="20"/>
  <c r="C23" i="20" s="1"/>
  <c r="C35" i="20" s="1"/>
  <c r="B20" i="18" s="1"/>
  <c r="A15" i="16"/>
  <c r="A12" i="18" s="1"/>
  <c r="E8" i="20"/>
  <c r="A445" i="16"/>
  <c r="E23" i="23"/>
  <c r="A250" i="16"/>
  <c r="A251" i="16"/>
  <c r="A171" i="16"/>
  <c r="A248" i="16"/>
  <c r="A99" i="2" s="1"/>
  <c r="A99" i="6"/>
  <c r="A249" i="16"/>
  <c r="A100" i="2"/>
  <c r="A100" i="6" s="1"/>
  <c r="C19" i="25"/>
  <c r="C18" i="25"/>
  <c r="C17" i="25"/>
  <c r="C15" i="25"/>
  <c r="C14" i="25"/>
  <c r="C13" i="25"/>
  <c r="C12" i="25"/>
  <c r="C11" i="25"/>
  <c r="C10" i="25"/>
  <c r="C9" i="25"/>
  <c r="C7" i="25"/>
  <c r="C5" i="25"/>
  <c r="A76" i="16"/>
  <c r="A246" i="6" s="1"/>
  <c r="C9" i="23"/>
  <c r="C28" i="23" s="1"/>
  <c r="C30" i="23" s="1"/>
  <c r="A204" i="16"/>
  <c r="A80" i="2"/>
  <c r="A80" i="6" s="1"/>
  <c r="A247" i="16"/>
  <c r="A97" i="2" s="1"/>
  <c r="A97" i="6" s="1"/>
  <c r="A246" i="16"/>
  <c r="A96" i="2"/>
  <c r="A96" i="6" s="1"/>
  <c r="A245" i="16"/>
  <c r="A95" i="2" s="1"/>
  <c r="A95" i="6" s="1"/>
  <c r="A244" i="16"/>
  <c r="A94" i="2"/>
  <c r="A94" i="6" s="1"/>
  <c r="A243" i="16"/>
  <c r="A93" i="2" s="1"/>
  <c r="A93" i="6" s="1"/>
  <c r="A242" i="16"/>
  <c r="A92" i="2"/>
  <c r="A92" i="6" s="1"/>
  <c r="A241" i="16"/>
  <c r="A91" i="2" s="1"/>
  <c r="A91" i="6" s="1"/>
  <c r="B2" i="2"/>
  <c r="B2" i="6"/>
  <c r="A97" i="16"/>
  <c r="B2" i="7"/>
  <c r="A331" i="16"/>
  <c r="M7" i="17"/>
  <c r="A332" i="16"/>
  <c r="M8" i="17"/>
  <c r="A333" i="16"/>
  <c r="M9" i="17"/>
  <c r="A334" i="16"/>
  <c r="M10" i="17"/>
  <c r="A335" i="16"/>
  <c r="M11" i="17"/>
  <c r="A336" i="16"/>
  <c r="M12" i="17"/>
  <c r="A337" i="16"/>
  <c r="M13" i="17"/>
  <c r="A338" i="16"/>
  <c r="A324" i="16"/>
  <c r="A25" i="17" s="1"/>
  <c r="A325" i="16"/>
  <c r="A42" i="17" s="1"/>
  <c r="A326" i="16"/>
  <c r="A57" i="17" s="1"/>
  <c r="A327" i="16"/>
  <c r="A58" i="17" s="1"/>
  <c r="A328" i="16"/>
  <c r="A62" i="17" s="1"/>
  <c r="A329" i="16"/>
  <c r="A63" i="17" s="1"/>
  <c r="A330" i="16"/>
  <c r="M5" i="17" s="1"/>
  <c r="A339" i="16"/>
  <c r="M15" i="17" s="1"/>
  <c r="A340" i="16"/>
  <c r="O6" i="17" s="1"/>
  <c r="A341" i="16"/>
  <c r="P6" i="17" s="1"/>
  <c r="A342" i="16"/>
  <c r="N12" i="17" s="1"/>
  <c r="A323" i="16"/>
  <c r="A14" i="17" s="1"/>
  <c r="A322" i="16"/>
  <c r="A2" i="17" s="1"/>
  <c r="A558" i="16"/>
  <c r="C24" i="25" s="1"/>
  <c r="A559" i="16"/>
  <c r="D24" i="25" s="1"/>
  <c r="A560" i="16"/>
  <c r="B3" i="25" s="1"/>
  <c r="A557" i="16"/>
  <c r="B22" i="25" s="1"/>
  <c r="A556" i="16"/>
  <c r="A1" i="25" s="1"/>
  <c r="A549" i="16"/>
  <c r="B14" i="25" s="1"/>
  <c r="A550" i="16"/>
  <c r="B15" i="25" s="1"/>
  <c r="A551" i="16"/>
  <c r="B16" i="25" s="1"/>
  <c r="A552" i="16"/>
  <c r="B17" i="25" s="1"/>
  <c r="A553" i="16"/>
  <c r="B18" i="25" s="1"/>
  <c r="A554" i="16"/>
  <c r="B19" i="25" s="1"/>
  <c r="A555" i="16"/>
  <c r="A540" i="16"/>
  <c r="B5" i="25"/>
  <c r="A541" i="16"/>
  <c r="B6" i="25"/>
  <c r="A542" i="16"/>
  <c r="B7" i="25"/>
  <c r="A543" i="16"/>
  <c r="B8" i="25"/>
  <c r="A544" i="16"/>
  <c r="B9" i="25"/>
  <c r="A545" i="16"/>
  <c r="B10" i="25"/>
  <c r="A546" i="16"/>
  <c r="B11" i="25"/>
  <c r="A547" i="16"/>
  <c r="B12" i="25"/>
  <c r="A548" i="16"/>
  <c r="B13" i="25"/>
  <c r="A528" i="16"/>
  <c r="A42" i="24"/>
  <c r="C478" i="16"/>
  <c r="A478" i="16"/>
  <c r="A30" i="23" s="1"/>
  <c r="C479" i="16"/>
  <c r="C480" i="16"/>
  <c r="A480" i="16"/>
  <c r="A32" i="23" s="1"/>
  <c r="C477" i="16"/>
  <c r="A477" i="16" s="1"/>
  <c r="A28" i="23"/>
  <c r="A438" i="16"/>
  <c r="A30" i="20"/>
  <c r="A439" i="16"/>
  <c r="A31" i="20"/>
  <c r="C441" i="16"/>
  <c r="A441" i="16"/>
  <c r="A34" i="20" s="1"/>
  <c r="C442" i="16"/>
  <c r="A442" i="16" s="1"/>
  <c r="A35" i="20"/>
  <c r="C443" i="16"/>
  <c r="A443" i="16"/>
  <c r="A36" i="20" s="1"/>
  <c r="C444" i="16"/>
  <c r="A444" i="16" s="1"/>
  <c r="A37" i="20"/>
  <c r="C440" i="16"/>
  <c r="A440" i="16"/>
  <c r="A33" i="20" s="1"/>
  <c r="C434" i="16"/>
  <c r="A434" i="16" s="1"/>
  <c r="A25" i="20"/>
  <c r="C435" i="16"/>
  <c r="A435" i="16"/>
  <c r="A26" i="20" s="1"/>
  <c r="A437" i="16"/>
  <c r="A29" i="20" s="1"/>
  <c r="C424" i="16"/>
  <c r="A424" i="16" s="1"/>
  <c r="A13" i="20" s="1"/>
  <c r="C425" i="16"/>
  <c r="A425" i="16"/>
  <c r="A14" i="20" s="1"/>
  <c r="C426" i="16"/>
  <c r="A426" i="16" s="1"/>
  <c r="A15" i="20" s="1"/>
  <c r="C427" i="16"/>
  <c r="A427" i="16"/>
  <c r="A16" i="20" s="1"/>
  <c r="C428" i="16"/>
  <c r="A428" i="16" s="1"/>
  <c r="A18" i="20" s="1"/>
  <c r="C429" i="16"/>
  <c r="A429" i="16"/>
  <c r="A19" i="20" s="1"/>
  <c r="C430" i="16"/>
  <c r="A430" i="16" s="1"/>
  <c r="A20" i="20" s="1"/>
  <c r="C431" i="16"/>
  <c r="A431" i="16"/>
  <c r="A21" i="20" s="1"/>
  <c r="C432" i="16"/>
  <c r="A432" i="16" s="1"/>
  <c r="A22" i="20" s="1"/>
  <c r="C433" i="16"/>
  <c r="A433" i="16"/>
  <c r="A23" i="20" s="1"/>
  <c r="C423" i="16"/>
  <c r="A423" i="16" s="1"/>
  <c r="A12" i="20" s="1"/>
  <c r="C493" i="16"/>
  <c r="A493" i="16"/>
  <c r="C494" i="16"/>
  <c r="A494" i="16"/>
  <c r="A495" i="16"/>
  <c r="A5" i="24"/>
  <c r="A499" i="16"/>
  <c r="A9" i="24"/>
  <c r="A500" i="16"/>
  <c r="A10" i="24"/>
  <c r="C490" i="16"/>
  <c r="A490" i="16"/>
  <c r="C4" i="24" s="1"/>
  <c r="C491" i="16"/>
  <c r="A491" i="16" s="1"/>
  <c r="C492" i="16"/>
  <c r="A492" i="16" s="1"/>
  <c r="C488" i="16"/>
  <c r="A488" i="16" s="1"/>
  <c r="A4" i="24" s="1"/>
  <c r="C399" i="16"/>
  <c r="A399" i="16"/>
  <c r="A52" i="17" s="1"/>
  <c r="C313" i="16"/>
  <c r="A313" i="16" s="1"/>
  <c r="G27" i="12" s="1"/>
  <c r="C307" i="16"/>
  <c r="A307" i="16"/>
  <c r="C265" i="16"/>
  <c r="C270" i="16"/>
  <c r="A270" i="16" s="1"/>
  <c r="C162" i="16"/>
  <c r="A162" i="16" s="1"/>
  <c r="A36" i="2" s="1"/>
  <c r="A36" i="6" s="1"/>
  <c r="C450" i="16"/>
  <c r="A453" i="16"/>
  <c r="E4" i="23" s="1"/>
  <c r="A457" i="16"/>
  <c r="A6" i="23" s="1"/>
  <c r="C460" i="16"/>
  <c r="A12" i="16"/>
  <c r="A10" i="18"/>
  <c r="A523" i="16"/>
  <c r="A36" i="24"/>
  <c r="A524" i="16"/>
  <c r="A37" i="24"/>
  <c r="A525" i="16"/>
  <c r="A39" i="24"/>
  <c r="A526" i="16"/>
  <c r="A40" i="24"/>
  <c r="A527" i="16"/>
  <c r="A41" i="24"/>
  <c r="A529" i="16"/>
  <c r="A44" i="24"/>
  <c r="A531" i="16"/>
  <c r="A46" i="24"/>
  <c r="A532" i="16"/>
  <c r="A48" i="24"/>
  <c r="A533" i="16"/>
  <c r="A49" i="24"/>
  <c r="A534" i="16"/>
  <c r="A50" i="24"/>
  <c r="A535" i="16"/>
  <c r="A51" i="24"/>
  <c r="A536" i="16"/>
  <c r="A52" i="24"/>
  <c r="A537" i="16"/>
  <c r="A53" i="24"/>
  <c r="A522" i="16"/>
  <c r="A35" i="24"/>
  <c r="A521" i="16"/>
  <c r="A33" i="24"/>
  <c r="A520" i="16"/>
  <c r="A32" i="24"/>
  <c r="A519" i="16"/>
  <c r="A31" i="24"/>
  <c r="A518" i="16"/>
  <c r="A30" i="24"/>
  <c r="A517" i="16"/>
  <c r="A29" i="24"/>
  <c r="A516" i="16"/>
  <c r="A27" i="24"/>
  <c r="A515" i="16"/>
  <c r="A26" i="24"/>
  <c r="A514" i="16"/>
  <c r="A25" i="24"/>
  <c r="A513" i="16"/>
  <c r="A24" i="24"/>
  <c r="A512" i="16"/>
  <c r="A23" i="24"/>
  <c r="A511" i="16"/>
  <c r="A22" i="24"/>
  <c r="A510" i="16"/>
  <c r="A21" i="24"/>
  <c r="A509" i="16"/>
  <c r="A19" i="24"/>
  <c r="A508" i="16"/>
  <c r="A18" i="24"/>
  <c r="A507" i="16"/>
  <c r="A17" i="24"/>
  <c r="A506" i="16"/>
  <c r="A16" i="24"/>
  <c r="A505" i="16"/>
  <c r="A15" i="24"/>
  <c r="A504" i="16"/>
  <c r="A14" i="24"/>
  <c r="A503" i="16"/>
  <c r="A13" i="24"/>
  <c r="A502" i="16"/>
  <c r="A12" i="24"/>
  <c r="A501" i="16"/>
  <c r="A11" i="24"/>
  <c r="A497" i="16"/>
  <c r="A7" i="24"/>
  <c r="A496" i="16"/>
  <c r="A6" i="24"/>
  <c r="A487" i="16"/>
  <c r="A2" i="24"/>
  <c r="A448" i="16"/>
  <c r="A2" i="23"/>
  <c r="A471" i="16"/>
  <c r="A21" i="23"/>
  <c r="A472" i="16"/>
  <c r="A22" i="23"/>
  <c r="A473" i="16"/>
  <c r="A23" i="23"/>
  <c r="A474" i="16"/>
  <c r="A24" i="23"/>
  <c r="A475" i="16"/>
  <c r="A26" i="23"/>
  <c r="A476" i="16"/>
  <c r="A27" i="23"/>
  <c r="A481" i="16"/>
  <c r="A33" i="23"/>
  <c r="A482" i="16"/>
  <c r="A37" i="23"/>
  <c r="A483" i="16"/>
  <c r="A38" i="23"/>
  <c r="A484" i="16"/>
  <c r="A39" i="23"/>
  <c r="A485" i="16"/>
  <c r="A40" i="23"/>
  <c r="A467" i="16"/>
  <c r="A16" i="23"/>
  <c r="A468" i="16"/>
  <c r="A17" i="23"/>
  <c r="A469" i="16"/>
  <c r="A19" i="23"/>
  <c r="A470" i="16"/>
  <c r="A20" i="23"/>
  <c r="A466" i="16"/>
  <c r="A15" i="23"/>
  <c r="A465" i="16"/>
  <c r="A14" i="23"/>
  <c r="A464" i="16"/>
  <c r="A13" i="23"/>
  <c r="A463" i="16"/>
  <c r="A12" i="23"/>
  <c r="A462" i="16"/>
  <c r="A11" i="23"/>
  <c r="A461" i="16"/>
  <c r="A10" i="23"/>
  <c r="A459" i="16"/>
  <c r="A8" i="23"/>
  <c r="A458" i="16"/>
  <c r="A7" i="23"/>
  <c r="A456" i="16"/>
  <c r="A5" i="23"/>
  <c r="A455" i="16"/>
  <c r="G4" i="23"/>
  <c r="A454" i="16"/>
  <c r="F4" i="23"/>
  <c r="A452" i="16"/>
  <c r="E3" i="23"/>
  <c r="A451" i="16"/>
  <c r="C4" i="23"/>
  <c r="A449" i="16"/>
  <c r="A4" i="23"/>
  <c r="A436" i="16"/>
  <c r="A27" i="20"/>
  <c r="A411" i="16"/>
  <c r="E2" i="20"/>
  <c r="A412" i="16"/>
  <c r="E3" i="20"/>
  <c r="A413" i="16"/>
  <c r="F3" i="20"/>
  <c r="A414" i="16"/>
  <c r="G3" i="20"/>
  <c r="A419" i="16"/>
  <c r="A8" i="20"/>
  <c r="A420" i="16"/>
  <c r="A9" i="20"/>
  <c r="A409" i="16"/>
  <c r="B3" i="20"/>
  <c r="A410" i="16"/>
  <c r="C3" i="20"/>
  <c r="A408" i="16"/>
  <c r="A3" i="20"/>
  <c r="A415" i="16"/>
  <c r="A4" i="20"/>
  <c r="A416" i="16"/>
  <c r="A5" i="20"/>
  <c r="A417" i="16"/>
  <c r="A6" i="20"/>
  <c r="A418" i="16"/>
  <c r="A7" i="20"/>
  <c r="A421" i="16"/>
  <c r="A10" i="20"/>
  <c r="A422" i="16"/>
  <c r="A11" i="20"/>
  <c r="I27" i="14"/>
  <c r="H27" i="14"/>
  <c r="G27" i="14"/>
  <c r="I24" i="14"/>
  <c r="I21" i="14"/>
  <c r="I18" i="14"/>
  <c r="H24" i="14"/>
  <c r="H21" i="14"/>
  <c r="H18" i="14"/>
  <c r="I15" i="14"/>
  <c r="I12" i="14"/>
  <c r="I6" i="14"/>
  <c r="G24" i="14"/>
  <c r="G21" i="14"/>
  <c r="G18" i="14"/>
  <c r="H15" i="14"/>
  <c r="H12" i="14"/>
  <c r="H6" i="14"/>
  <c r="G15" i="14"/>
  <c r="G12" i="14"/>
  <c r="G6" i="14"/>
  <c r="J7" i="14"/>
  <c r="J13" i="14"/>
  <c r="J16" i="14"/>
  <c r="J19" i="14"/>
  <c r="J28" i="14"/>
  <c r="J25" i="14"/>
  <c r="J22" i="14"/>
  <c r="B42" i="18"/>
  <c r="B9" i="2"/>
  <c r="B41" i="18"/>
  <c r="B8" i="2"/>
  <c r="E10" i="14" s="1"/>
  <c r="C11" i="24"/>
  <c r="C36" i="24" s="1"/>
  <c r="C18" i="24"/>
  <c r="C7" i="23"/>
  <c r="I29" i="17"/>
  <c r="I30" i="17"/>
  <c r="I28" i="17"/>
  <c r="I18" i="17"/>
  <c r="I19" i="17"/>
  <c r="I20" i="17"/>
  <c r="I21" i="17"/>
  <c r="I22" i="17"/>
  <c r="I17" i="17"/>
  <c r="I23" i="17" s="1"/>
  <c r="K23" i="17"/>
  <c r="C53" i="17" s="1"/>
  <c r="D53" i="17"/>
  <c r="E53" i="17" s="1"/>
  <c r="F53" i="17" s="1"/>
  <c r="G53" i="17" s="1"/>
  <c r="H53" i="17" s="1"/>
  <c r="I53" i="17" s="1"/>
  <c r="J53" i="17" s="1"/>
  <c r="K53" i="17" s="1"/>
  <c r="L53" i="17" s="1"/>
  <c r="M53" i="17" s="1"/>
  <c r="N53" i="17" s="1"/>
  <c r="O53" i="17" s="1"/>
  <c r="P53" i="17" s="1"/>
  <c r="Q53" i="17" s="1"/>
  <c r="R53" i="17" s="1"/>
  <c r="S53" i="17" s="1"/>
  <c r="T53" i="17" s="1"/>
  <c r="U53" i="17" s="1"/>
  <c r="V53" i="17" s="1"/>
  <c r="W53" i="17" s="1"/>
  <c r="X53" i="17" s="1"/>
  <c r="Y53" i="17" s="1"/>
  <c r="Z53" i="17" s="1"/>
  <c r="AA53" i="17" s="1"/>
  <c r="AB53" i="17" s="1"/>
  <c r="AC53" i="17" s="1"/>
  <c r="AD53" i="17" s="1"/>
  <c r="AE53" i="17" s="1"/>
  <c r="AF53" i="17" s="1"/>
  <c r="H23" i="17"/>
  <c r="G23" i="17"/>
  <c r="E23" i="17"/>
  <c r="F8" i="17"/>
  <c r="F9" i="17"/>
  <c r="F10" i="17"/>
  <c r="F11" i="17"/>
  <c r="C62" i="17"/>
  <c r="C37" i="20"/>
  <c r="B21" i="18"/>
  <c r="B48" i="2" s="1"/>
  <c r="B48" i="6" s="1"/>
  <c r="C48" i="6" s="1"/>
  <c r="C40" i="23"/>
  <c r="C24" i="23"/>
  <c r="C38" i="23"/>
  <c r="C51" i="24"/>
  <c r="C53" i="24"/>
  <c r="Z55" i="6"/>
  <c r="AA55" i="6"/>
  <c r="AB55" i="6"/>
  <c r="AC55" i="6"/>
  <c r="AD55" i="6"/>
  <c r="AE55" i="6"/>
  <c r="AF55" i="6"/>
  <c r="Z56" i="6"/>
  <c r="AA56" i="6"/>
  <c r="AB56" i="6"/>
  <c r="AC56" i="6"/>
  <c r="AD56" i="6"/>
  <c r="AE56" i="6"/>
  <c r="AF56" i="6"/>
  <c r="Z57" i="6"/>
  <c r="Z85" i="6"/>
  <c r="AA57" i="6"/>
  <c r="AA85" i="6"/>
  <c r="AA88" i="6" s="1"/>
  <c r="AB57" i="6"/>
  <c r="AB85" i="6"/>
  <c r="AB87" i="6" s="1"/>
  <c r="AC57" i="6"/>
  <c r="AC85" i="6" s="1"/>
  <c r="AD57" i="6"/>
  <c r="AD85" i="6"/>
  <c r="AD88" i="6" s="1"/>
  <c r="AE57" i="6"/>
  <c r="AE85" i="6" s="1"/>
  <c r="AF57" i="6"/>
  <c r="AF85" i="6" s="1"/>
  <c r="AF88" i="6" s="1"/>
  <c r="W78" i="6"/>
  <c r="X78" i="6"/>
  <c r="Y78" i="6"/>
  <c r="Z78" i="6"/>
  <c r="AA78" i="6"/>
  <c r="AB78" i="6"/>
  <c r="AC78" i="6"/>
  <c r="AD78" i="6"/>
  <c r="AE78" i="6"/>
  <c r="AF78" i="6"/>
  <c r="AC87" i="6"/>
  <c r="AF55" i="2"/>
  <c r="AF56" i="2"/>
  <c r="AF57" i="2"/>
  <c r="Z55" i="2"/>
  <c r="AA55" i="2"/>
  <c r="AB55" i="2"/>
  <c r="AC55" i="2"/>
  <c r="AD55" i="2"/>
  <c r="AE55" i="2"/>
  <c r="Z56" i="2"/>
  <c r="AA56" i="2"/>
  <c r="AB56" i="2"/>
  <c r="AC56" i="2"/>
  <c r="AD56" i="2"/>
  <c r="AE56" i="2"/>
  <c r="Z57" i="2"/>
  <c r="Z85" i="2" s="1"/>
  <c r="Z88" i="2" s="1"/>
  <c r="AA57" i="2"/>
  <c r="AB57" i="2"/>
  <c r="AB85" i="2" s="1"/>
  <c r="AB88" i="2"/>
  <c r="AC57" i="2"/>
  <c r="AC85" i="2"/>
  <c r="AD57" i="2"/>
  <c r="AD85" i="2"/>
  <c r="AE57" i="2"/>
  <c r="AE85" i="2"/>
  <c r="C17" i="23"/>
  <c r="C26" i="23"/>
  <c r="D26" i="23" s="1"/>
  <c r="G9" i="23"/>
  <c r="F9" i="23"/>
  <c r="E9" i="23"/>
  <c r="A3" i="16"/>
  <c r="A1" i="18"/>
  <c r="C16" i="20"/>
  <c r="B46" i="17"/>
  <c r="D61" i="17" s="1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R61" i="17" s="1"/>
  <c r="S61" i="17" s="1"/>
  <c r="T61" i="17" s="1"/>
  <c r="U61" i="17" s="1"/>
  <c r="V61" i="17" s="1"/>
  <c r="W61" i="17" s="1"/>
  <c r="X61" i="17" s="1"/>
  <c r="Y61" i="17" s="1"/>
  <c r="Z61" i="17" s="1"/>
  <c r="AA61" i="17" s="1"/>
  <c r="AB61" i="17" s="1"/>
  <c r="AC61" i="17" s="1"/>
  <c r="AD61" i="17" s="1"/>
  <c r="AE61" i="17" s="1"/>
  <c r="AF61" i="17" s="1"/>
  <c r="C26" i="24"/>
  <c r="C246" i="6"/>
  <c r="D246" i="6"/>
  <c r="E246" i="6" s="1"/>
  <c r="F246" i="6"/>
  <c r="G246" i="6" s="1"/>
  <c r="H246" i="6" s="1"/>
  <c r="I246" i="6" s="1"/>
  <c r="J246" i="6" s="1"/>
  <c r="K246" i="6" s="1"/>
  <c r="L246" i="6" s="1"/>
  <c r="M246" i="6" s="1"/>
  <c r="N246" i="6" s="1"/>
  <c r="O246" i="6" s="1"/>
  <c r="P246" i="6" s="1"/>
  <c r="Q246" i="6" s="1"/>
  <c r="R246" i="6" s="1"/>
  <c r="S246" i="6" s="1"/>
  <c r="T246" i="6" s="1"/>
  <c r="U246" i="6" s="1"/>
  <c r="V246" i="6" s="1"/>
  <c r="J10" i="14"/>
  <c r="G8" i="20"/>
  <c r="F8" i="20"/>
  <c r="C25" i="20"/>
  <c r="A234" i="16"/>
  <c r="A97" i="18"/>
  <c r="A233" i="16"/>
  <c r="A96" i="18"/>
  <c r="P11" i="11" s="1"/>
  <c r="A376" i="16"/>
  <c r="C25" i="17" s="1"/>
  <c r="A197" i="16"/>
  <c r="A184" i="16"/>
  <c r="A19" i="2"/>
  <c r="A19" i="6" s="1"/>
  <c r="A319" i="16"/>
  <c r="A2" i="11" s="1"/>
  <c r="A281" i="16"/>
  <c r="A11" i="12" s="1"/>
  <c r="G13" i="12"/>
  <c r="G13" i="11"/>
  <c r="A98" i="16"/>
  <c r="A99" i="16"/>
  <c r="E6" i="7"/>
  <c r="A100" i="16"/>
  <c r="C37" i="7"/>
  <c r="A101" i="16"/>
  <c r="C5" i="7"/>
  <c r="A131" i="16"/>
  <c r="A344" i="16"/>
  <c r="A4" i="17" s="1"/>
  <c r="A345" i="16"/>
  <c r="A346" i="16"/>
  <c r="A7" i="17"/>
  <c r="A347" i="16"/>
  <c r="A8" i="17"/>
  <c r="A348" i="16"/>
  <c r="A9" i="17"/>
  <c r="A349" i="16"/>
  <c r="A10" i="17"/>
  <c r="A350" i="16"/>
  <c r="A11" i="17"/>
  <c r="A351" i="16"/>
  <c r="A12" i="17"/>
  <c r="A352" i="16"/>
  <c r="A353" i="16"/>
  <c r="A355" i="16"/>
  <c r="A18" i="17"/>
  <c r="A356" i="16"/>
  <c r="A19" i="17"/>
  <c r="A357" i="16"/>
  <c r="A20" i="17"/>
  <c r="A358" i="16"/>
  <c r="A21" i="17"/>
  <c r="A359" i="16"/>
  <c r="A22" i="17"/>
  <c r="A360" i="16"/>
  <c r="A23" i="17"/>
  <c r="A361" i="16"/>
  <c r="A362" i="16"/>
  <c r="A28" i="17" s="1"/>
  <c r="A363" i="16"/>
  <c r="A29" i="17" s="1"/>
  <c r="A364" i="16"/>
  <c r="A30" i="17" s="1"/>
  <c r="A365" i="16"/>
  <c r="A366" i="16"/>
  <c r="A31" i="17"/>
  <c r="A367" i="16"/>
  <c r="A34" i="17"/>
  <c r="A368" i="16"/>
  <c r="A35" i="17"/>
  <c r="A369" i="16"/>
  <c r="A36" i="17"/>
  <c r="A370" i="16"/>
  <c r="A371" i="16"/>
  <c r="A38" i="17" s="1"/>
  <c r="A372" i="16"/>
  <c r="A39" i="17" s="1"/>
  <c r="A373" i="16"/>
  <c r="A40" i="17" s="1"/>
  <c r="A374" i="16"/>
  <c r="B4" i="17"/>
  <c r="B14" i="17" s="1"/>
  <c r="A375" i="16"/>
  <c r="C4" i="17" s="1"/>
  <c r="C14" i="17" s="1"/>
  <c r="A377" i="16"/>
  <c r="D4" i="17"/>
  <c r="A378" i="16"/>
  <c r="E4" i="17"/>
  <c r="A379" i="16"/>
  <c r="F4" i="17"/>
  <c r="A380" i="16"/>
  <c r="G4" i="17"/>
  <c r="A381" i="16"/>
  <c r="H4" i="17"/>
  <c r="A382" i="16"/>
  <c r="I4" i="17"/>
  <c r="A383" i="16"/>
  <c r="I6" i="17"/>
  <c r="A384" i="16"/>
  <c r="J6" i="17"/>
  <c r="A385" i="16"/>
  <c r="K6" i="17"/>
  <c r="K16" i="17" s="1"/>
  <c r="A386" i="16"/>
  <c r="E14" i="17" s="1"/>
  <c r="A387" i="16"/>
  <c r="G14" i="17" s="1"/>
  <c r="A388" i="16"/>
  <c r="H14" i="17" s="1"/>
  <c r="A389" i="16"/>
  <c r="I14" i="17" s="1"/>
  <c r="A390" i="16"/>
  <c r="G25" i="17" s="1"/>
  <c r="A391" i="16"/>
  <c r="I25" i="17" s="1"/>
  <c r="A392" i="16"/>
  <c r="A43" i="17" s="1"/>
  <c r="A393" i="16"/>
  <c r="A44" i="17" s="1"/>
  <c r="A394" i="16"/>
  <c r="A45" i="17" s="1"/>
  <c r="A395" i="16"/>
  <c r="A46" i="17" s="1"/>
  <c r="A396" i="16"/>
  <c r="A48" i="17" s="1"/>
  <c r="A397" i="16"/>
  <c r="A50" i="17" s="1"/>
  <c r="A398" i="16"/>
  <c r="A49" i="17" s="1"/>
  <c r="A400" i="16"/>
  <c r="A53" i="17" s="1"/>
  <c r="A401" i="16"/>
  <c r="A54" i="17" s="1"/>
  <c r="A402" i="16"/>
  <c r="A55" i="17" s="1"/>
  <c r="A403" i="16"/>
  <c r="A59" i="17" s="1"/>
  <c r="A404" i="16"/>
  <c r="A60" i="17" s="1"/>
  <c r="A405" i="16"/>
  <c r="A61" i="17" s="1"/>
  <c r="A343" i="16"/>
  <c r="A276" i="16"/>
  <c r="A277" i="16"/>
  <c r="A278" i="16"/>
  <c r="A279" i="16"/>
  <c r="A280" i="16"/>
  <c r="A11" i="11"/>
  <c r="A283" i="16"/>
  <c r="A284" i="16"/>
  <c r="A285" i="16"/>
  <c r="A15" i="11"/>
  <c r="A286" i="16"/>
  <c r="A17" i="12"/>
  <c r="A287" i="16"/>
  <c r="A288" i="16"/>
  <c r="D15" i="11" s="1"/>
  <c r="A289" i="16"/>
  <c r="D16" i="11" s="1"/>
  <c r="A290" i="16"/>
  <c r="D18" i="11" s="1"/>
  <c r="A291" i="16"/>
  <c r="F13" i="12" s="1"/>
  <c r="A292" i="16"/>
  <c r="F14" i="11" s="1"/>
  <c r="A293" i="16"/>
  <c r="A294" i="16"/>
  <c r="F16" i="12"/>
  <c r="A295" i="16"/>
  <c r="A296" i="16"/>
  <c r="F18" i="11" s="1"/>
  <c r="A297" i="16"/>
  <c r="A298" i="16"/>
  <c r="I14" i="11"/>
  <c r="A299" i="16"/>
  <c r="A300" i="16"/>
  <c r="I16" i="11" s="1"/>
  <c r="A301" i="16"/>
  <c r="I17" i="11" s="1"/>
  <c r="A302" i="16"/>
  <c r="I18" i="11" s="1"/>
  <c r="A303" i="16"/>
  <c r="A19" i="11" s="1"/>
  <c r="A304" i="16"/>
  <c r="A305" i="16"/>
  <c r="A21" i="11"/>
  <c r="A306" i="16"/>
  <c r="A24" i="11"/>
  <c r="A308" i="16"/>
  <c r="A309" i="16"/>
  <c r="C27" i="11" s="1"/>
  <c r="A310" i="16"/>
  <c r="A311" i="16"/>
  <c r="E27" i="11"/>
  <c r="A312" i="16"/>
  <c r="F27" i="11"/>
  <c r="A314" i="16"/>
  <c r="H27" i="12"/>
  <c r="A315" i="16"/>
  <c r="I27" i="11"/>
  <c r="A316" i="16"/>
  <c r="J27" i="12"/>
  <c r="A317" i="16"/>
  <c r="K27" i="12"/>
  <c r="A318" i="16"/>
  <c r="L27" i="12"/>
  <c r="A320" i="16"/>
  <c r="A2" i="12"/>
  <c r="A275" i="16"/>
  <c r="A256" i="16"/>
  <c r="A257" i="16"/>
  <c r="A258" i="16"/>
  <c r="A259" i="16"/>
  <c r="A260" i="16"/>
  <c r="A261" i="16"/>
  <c r="A262" i="16"/>
  <c r="A263" i="16"/>
  <c r="A264" i="16"/>
  <c r="A266" i="16"/>
  <c r="A267" i="16"/>
  <c r="A268" i="16"/>
  <c r="A269" i="16"/>
  <c r="A271" i="16"/>
  <c r="A272" i="16"/>
  <c r="C62" i="2"/>
  <c r="C62" i="6"/>
  <c r="A17" i="16"/>
  <c r="A14" i="18"/>
  <c r="B255" i="16"/>
  <c r="A255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4" i="16"/>
  <c r="A2" i="18"/>
  <c r="A6" i="16"/>
  <c r="A4" i="18"/>
  <c r="A73" i="16"/>
  <c r="A70" i="16"/>
  <c r="A68" i="16"/>
  <c r="A238" i="6"/>
  <c r="A69" i="16"/>
  <c r="A239" i="6"/>
  <c r="A71" i="16"/>
  <c r="A241" i="6"/>
  <c r="A72" i="16"/>
  <c r="A242" i="6"/>
  <c r="A74" i="16"/>
  <c r="A244" i="6"/>
  <c r="A75" i="16"/>
  <c r="A245" i="6"/>
  <c r="A67" i="16"/>
  <c r="A66" i="16"/>
  <c r="E28" i="7"/>
  <c r="E29" i="7"/>
  <c r="E30" i="7"/>
  <c r="E31" i="7"/>
  <c r="E32" i="7"/>
  <c r="E33" i="7"/>
  <c r="E34" i="7"/>
  <c r="E35" i="7"/>
  <c r="E22" i="7"/>
  <c r="E19" i="7"/>
  <c r="E21" i="7" s="1"/>
  <c r="E16" i="7"/>
  <c r="E18" i="7" s="1"/>
  <c r="E13" i="7"/>
  <c r="E15" i="7" s="1"/>
  <c r="E10" i="7"/>
  <c r="E12" i="7" s="1"/>
  <c r="E7" i="7"/>
  <c r="E9" i="7" s="1"/>
  <c r="B28" i="2"/>
  <c r="B28" i="6" s="1"/>
  <c r="B12" i="2"/>
  <c r="B12" i="6" s="1"/>
  <c r="B34" i="2"/>
  <c r="B12" i="11" s="1"/>
  <c r="B26" i="11" s="1"/>
  <c r="A130" i="16"/>
  <c r="A103" i="16"/>
  <c r="C8" i="7" s="1"/>
  <c r="A104" i="16"/>
  <c r="C9" i="7" s="1"/>
  <c r="A105" i="16"/>
  <c r="C10" i="7" s="1"/>
  <c r="A106" i="16"/>
  <c r="C11" i="7" s="1"/>
  <c r="A107" i="16"/>
  <c r="C12" i="7" s="1"/>
  <c r="A108" i="16"/>
  <c r="C13" i="7" s="1"/>
  <c r="A109" i="16"/>
  <c r="C14" i="7" s="1"/>
  <c r="A110" i="16"/>
  <c r="C15" i="7" s="1"/>
  <c r="A111" i="16"/>
  <c r="C16" i="7" s="1"/>
  <c r="A112" i="16"/>
  <c r="C17" i="7" s="1"/>
  <c r="A113" i="16"/>
  <c r="C18" i="7" s="1"/>
  <c r="A114" i="16"/>
  <c r="C19" i="7" s="1"/>
  <c r="A115" i="16"/>
  <c r="C20" i="7" s="1"/>
  <c r="A116" i="16"/>
  <c r="C21" i="7" s="1"/>
  <c r="A117" i="16"/>
  <c r="C22" i="7" s="1"/>
  <c r="A63" i="16"/>
  <c r="J2" i="18" s="1"/>
  <c r="A64" i="16"/>
  <c r="K2" i="18" s="1"/>
  <c r="A65" i="16"/>
  <c r="F11" i="18" s="1"/>
  <c r="A62" i="16"/>
  <c r="F2" i="18" s="1"/>
  <c r="A59" i="16"/>
  <c r="F6" i="18" s="1"/>
  <c r="B27" i="25" s="1"/>
  <c r="A60" i="16"/>
  <c r="F7" i="18"/>
  <c r="B28" i="25" s="1"/>
  <c r="A61" i="16"/>
  <c r="F8" i="18" s="1"/>
  <c r="A53" i="16"/>
  <c r="A54" i="16"/>
  <c r="B3" i="18"/>
  <c r="A55" i="16"/>
  <c r="D3" i="18"/>
  <c r="A56" i="16"/>
  <c r="A57" i="16"/>
  <c r="F4" i="18" s="1"/>
  <c r="B25" i="25" s="1"/>
  <c r="A58" i="16"/>
  <c r="F5" i="18"/>
  <c r="B26" i="25" s="1"/>
  <c r="A51" i="16"/>
  <c r="A52" i="16"/>
  <c r="A48" i="18"/>
  <c r="B5" i="2"/>
  <c r="A32" i="16"/>
  <c r="A28" i="18" s="1"/>
  <c r="A33" i="16"/>
  <c r="A29" i="18" s="1"/>
  <c r="A34" i="16"/>
  <c r="A30" i="18" s="1"/>
  <c r="A35" i="16"/>
  <c r="A31" i="18" s="1"/>
  <c r="A36" i="16"/>
  <c r="A32" i="18" s="1"/>
  <c r="A37" i="16"/>
  <c r="A33" i="18" s="1"/>
  <c r="A38" i="16"/>
  <c r="A34" i="18" s="1"/>
  <c r="A39" i="16"/>
  <c r="A35" i="18" s="1"/>
  <c r="A40" i="16"/>
  <c r="A36" i="18" s="1"/>
  <c r="A41" i="16"/>
  <c r="A42" i="16"/>
  <c r="A38" i="18"/>
  <c r="A43" i="16"/>
  <c r="A39" i="18"/>
  <c r="A44" i="16"/>
  <c r="A40" i="18"/>
  <c r="A45" i="16"/>
  <c r="A41" i="18"/>
  <c r="A46" i="16"/>
  <c r="A42" i="18"/>
  <c r="A47" i="16"/>
  <c r="A48" i="16"/>
  <c r="A44" i="18" s="1"/>
  <c r="A49" i="16"/>
  <c r="A45" i="18" s="1"/>
  <c r="A50" i="16"/>
  <c r="A46" i="18" s="1"/>
  <c r="A27" i="16"/>
  <c r="A28" i="16"/>
  <c r="A24" i="18"/>
  <c r="A29" i="16"/>
  <c r="A25" i="18"/>
  <c r="A30" i="16"/>
  <c r="A26" i="18"/>
  <c r="A31" i="16"/>
  <c r="A27" i="18"/>
  <c r="A26" i="16"/>
  <c r="A22" i="18"/>
  <c r="B11" i="2"/>
  <c r="B11" i="6"/>
  <c r="B33" i="2"/>
  <c r="B38" i="2"/>
  <c r="H14" i="11" s="1"/>
  <c r="B14" i="2"/>
  <c r="B14" i="6" s="1"/>
  <c r="B7" i="2"/>
  <c r="B7" i="6" s="1"/>
  <c r="B6" i="2"/>
  <c r="B6" i="6" s="1"/>
  <c r="B37" i="2"/>
  <c r="B37" i="6" s="1"/>
  <c r="B36" i="2"/>
  <c r="B36" i="6" s="1"/>
  <c r="E15" i="12" s="1"/>
  <c r="B35" i="2"/>
  <c r="E22" i="14"/>
  <c r="B32" i="2"/>
  <c r="B22" i="2"/>
  <c r="B22" i="6" s="1"/>
  <c r="B19" i="2"/>
  <c r="B19" i="6" s="1"/>
  <c r="B20" i="2"/>
  <c r="B18" i="2"/>
  <c r="B18" i="6"/>
  <c r="B10" i="2"/>
  <c r="B10" i="6"/>
  <c r="B60" i="6"/>
  <c r="A174" i="16"/>
  <c r="A46" i="2" s="1"/>
  <c r="A46" i="6" s="1"/>
  <c r="H5" i="17"/>
  <c r="F5" i="17"/>
  <c r="B23" i="17"/>
  <c r="B31" i="17"/>
  <c r="C31" i="17"/>
  <c r="C23" i="17"/>
  <c r="E8" i="17"/>
  <c r="E9" i="17"/>
  <c r="E10" i="17"/>
  <c r="E11" i="17"/>
  <c r="H16" i="11"/>
  <c r="J78" i="2"/>
  <c r="A220" i="16"/>
  <c r="A106" i="2"/>
  <c r="A106" i="6" s="1"/>
  <c r="A219" i="16"/>
  <c r="A105" i="2" s="1"/>
  <c r="A105" i="6" s="1"/>
  <c r="A218" i="16"/>
  <c r="A104" i="2"/>
  <c r="A104" i="6" s="1"/>
  <c r="A217" i="16"/>
  <c r="A103" i="2" s="1"/>
  <c r="A103" i="6" s="1"/>
  <c r="A238" i="16"/>
  <c r="A239" i="16"/>
  <c r="C78" i="6"/>
  <c r="D78" i="6"/>
  <c r="H16" i="12"/>
  <c r="E78" i="6"/>
  <c r="F78" i="6"/>
  <c r="G78" i="6"/>
  <c r="H78" i="6"/>
  <c r="I78" i="6"/>
  <c r="N78" i="6"/>
  <c r="O78" i="6"/>
  <c r="P78" i="6"/>
  <c r="Q78" i="6"/>
  <c r="R78" i="6"/>
  <c r="S78" i="6"/>
  <c r="T78" i="6"/>
  <c r="U78" i="6"/>
  <c r="V78" i="6"/>
  <c r="A169" i="16"/>
  <c r="AH96" i="6" s="1"/>
  <c r="A170" i="16"/>
  <c r="AH97" i="2" s="1"/>
  <c r="A191" i="16"/>
  <c r="A61" i="2" s="1"/>
  <c r="A61" i="6" s="1"/>
  <c r="A176" i="16"/>
  <c r="B17" i="14"/>
  <c r="A173" i="16"/>
  <c r="A172" i="16"/>
  <c r="A237" i="16"/>
  <c r="B2" i="14"/>
  <c r="A236" i="16"/>
  <c r="F24" i="14"/>
  <c r="A235" i="16"/>
  <c r="E21" i="14"/>
  <c r="A154" i="16"/>
  <c r="A28" i="2"/>
  <c r="A28" i="6" s="1"/>
  <c r="A161" i="16"/>
  <c r="A152" i="16"/>
  <c r="A25" i="2"/>
  <c r="A25" i="6" s="1"/>
  <c r="A138" i="16"/>
  <c r="A136" i="16"/>
  <c r="A6" i="2"/>
  <c r="A6" i="6" s="1"/>
  <c r="A203" i="16"/>
  <c r="A74" i="2" s="1"/>
  <c r="A74" i="6" s="1"/>
  <c r="A202" i="16"/>
  <c r="A73" i="2"/>
  <c r="A73" i="6" s="1"/>
  <c r="A201" i="16"/>
  <c r="A71" i="2" s="1"/>
  <c r="A71" i="6" s="1"/>
  <c r="A200" i="16"/>
  <c r="A81" i="2" s="1"/>
  <c r="A81" i="6"/>
  <c r="A134" i="16"/>
  <c r="A4" i="2"/>
  <c r="A4" i="6" s="1"/>
  <c r="A164" i="16"/>
  <c r="A38" i="2" s="1"/>
  <c r="A38" i="6"/>
  <c r="A163" i="16"/>
  <c r="A37" i="2"/>
  <c r="A37" i="6" s="1"/>
  <c r="A151" i="16"/>
  <c r="A24" i="2" s="1"/>
  <c r="A24" i="6"/>
  <c r="A188" i="16"/>
  <c r="A57" i="2"/>
  <c r="A57" i="6" s="1"/>
  <c r="AA3" i="11"/>
  <c r="AB3" i="11"/>
  <c r="AC3" i="11"/>
  <c r="A187" i="16"/>
  <c r="A56" i="2"/>
  <c r="A56" i="6" s="1"/>
  <c r="A177" i="16"/>
  <c r="A178" i="16"/>
  <c r="A179" i="16"/>
  <c r="A48" i="2" s="1"/>
  <c r="A48" i="6" s="1"/>
  <c r="A180" i="16"/>
  <c r="A49" i="2"/>
  <c r="A49" i="6" s="1"/>
  <c r="A181" i="16"/>
  <c r="A50" i="2" s="1"/>
  <c r="A50" i="6" s="1"/>
  <c r="A182" i="16"/>
  <c r="A51" i="2"/>
  <c r="A51" i="6" s="1"/>
  <c r="A183" i="16"/>
  <c r="A52" i="2" s="1"/>
  <c r="A52" i="6" s="1"/>
  <c r="A185" i="16"/>
  <c r="A54" i="2"/>
  <c r="A54" i="6" s="1"/>
  <c r="A186" i="16"/>
  <c r="A55" i="2" s="1"/>
  <c r="A55" i="6" s="1"/>
  <c r="A189" i="16"/>
  <c r="A59" i="2"/>
  <c r="A59" i="6" s="1"/>
  <c r="A190" i="16"/>
  <c r="A60" i="2" s="1"/>
  <c r="A60" i="6" s="1"/>
  <c r="A192" i="16"/>
  <c r="A62" i="2"/>
  <c r="A62" i="6" s="1"/>
  <c r="A193" i="16"/>
  <c r="A63" i="2" s="1"/>
  <c r="A63" i="6" s="1"/>
  <c r="A194" i="16"/>
  <c r="A64" i="2"/>
  <c r="A64" i="6" s="1"/>
  <c r="A195" i="16"/>
  <c r="A65" i="2" s="1"/>
  <c r="A65" i="6" s="1"/>
  <c r="A196" i="16"/>
  <c r="A66" i="2"/>
  <c r="A66" i="6" s="1"/>
  <c r="A198" i="16"/>
  <c r="A67" i="2" s="1"/>
  <c r="A67" i="6" s="1"/>
  <c r="A199" i="16"/>
  <c r="A68" i="2"/>
  <c r="A68" i="6" s="1"/>
  <c r="A205" i="16"/>
  <c r="A77" i="2" s="1"/>
  <c r="A77" i="6" s="1"/>
  <c r="A206" i="16"/>
  <c r="A86" i="2"/>
  <c r="A86" i="6" s="1"/>
  <c r="A207" i="16"/>
  <c r="A78" i="2" s="1"/>
  <c r="A78" i="6" s="1"/>
  <c r="A208" i="16"/>
  <c r="A79" i="2"/>
  <c r="A79" i="6" s="1"/>
  <c r="A209" i="16"/>
  <c r="A82" i="2" s="1"/>
  <c r="A82" i="6" s="1"/>
  <c r="A212" i="16"/>
  <c r="A213" i="16"/>
  <c r="A85" i="2" s="1"/>
  <c r="A85" i="6"/>
  <c r="A214" i="16"/>
  <c r="A87" i="2"/>
  <c r="A87" i="6" s="1"/>
  <c r="A215" i="16"/>
  <c r="A88" i="2" s="1"/>
  <c r="A88" i="6"/>
  <c r="A216" i="16"/>
  <c r="A89" i="2"/>
  <c r="A89" i="6" s="1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40" i="16"/>
  <c r="A168" i="16"/>
  <c r="A42" i="2"/>
  <c r="A42" i="6" s="1"/>
  <c r="A167" i="16"/>
  <c r="A41" i="2" s="1"/>
  <c r="A41" i="6" s="1"/>
  <c r="A166" i="16"/>
  <c r="A40" i="2"/>
  <c r="A40" i="6" s="1"/>
  <c r="A160" i="16"/>
  <c r="A34" i="2" s="1"/>
  <c r="A34" i="6" s="1"/>
  <c r="A159" i="16"/>
  <c r="A33" i="2"/>
  <c r="A33" i="6" s="1"/>
  <c r="A158" i="16"/>
  <c r="A32" i="2" s="1"/>
  <c r="A32" i="6" s="1"/>
  <c r="A157" i="16"/>
  <c r="A31" i="2"/>
  <c r="A31" i="6" s="1"/>
  <c r="A156" i="16"/>
  <c r="A30" i="2" s="1"/>
  <c r="A30" i="6" s="1"/>
  <c r="A155" i="16"/>
  <c r="A29" i="2"/>
  <c r="A29" i="6" s="1"/>
  <c r="A153" i="16"/>
  <c r="A27" i="2" s="1"/>
  <c r="A27" i="6" s="1"/>
  <c r="A150" i="16"/>
  <c r="A22" i="2"/>
  <c r="A22" i="6" s="1"/>
  <c r="A149" i="16"/>
  <c r="A21" i="2" s="1"/>
  <c r="A21" i="6" s="1"/>
  <c r="A148" i="16"/>
  <c r="A20" i="2"/>
  <c r="A20" i="6" s="1"/>
  <c r="A147" i="16"/>
  <c r="A18" i="2" s="1"/>
  <c r="A18" i="6" s="1"/>
  <c r="A146" i="16"/>
  <c r="B26" i="14"/>
  <c r="A145" i="16"/>
  <c r="A144" i="16"/>
  <c r="A14" i="2" s="1"/>
  <c r="A14" i="6"/>
  <c r="A143" i="16"/>
  <c r="A13" i="2"/>
  <c r="A13" i="6" s="1"/>
  <c r="A142" i="16"/>
  <c r="A12" i="2" s="1"/>
  <c r="A12" i="6"/>
  <c r="A139" i="16"/>
  <c r="A9" i="2"/>
  <c r="A9" i="6" s="1"/>
  <c r="A137" i="16"/>
  <c r="A7" i="2" s="1"/>
  <c r="A7" i="6"/>
  <c r="A135" i="16"/>
  <c r="A5" i="2"/>
  <c r="A5" i="6" s="1"/>
  <c r="A133" i="16"/>
  <c r="A2" i="2" s="1"/>
  <c r="A2" i="6"/>
  <c r="A8" i="16"/>
  <c r="A6" i="18"/>
  <c r="A5" i="16"/>
  <c r="A7" i="16"/>
  <c r="A5" i="18" s="1"/>
  <c r="A9" i="16"/>
  <c r="A7" i="18" s="1"/>
  <c r="A10" i="16"/>
  <c r="A8" i="18" s="1"/>
  <c r="A11" i="16"/>
  <c r="A9" i="18" s="1"/>
  <c r="A13" i="16"/>
  <c r="A14" i="16"/>
  <c r="A16" i="16"/>
  <c r="A13" i="18" s="1"/>
  <c r="A18" i="16"/>
  <c r="A19" i="16"/>
  <c r="A16" i="18"/>
  <c r="A20" i="16"/>
  <c r="A17" i="18"/>
  <c r="A21" i="16"/>
  <c r="A18" i="18"/>
  <c r="A22" i="16"/>
  <c r="A20" i="18"/>
  <c r="A23" i="16"/>
  <c r="A19" i="18"/>
  <c r="A24" i="16"/>
  <c r="A25" i="16"/>
  <c r="A21" i="18" s="1"/>
  <c r="A102" i="16"/>
  <c r="C7" i="7" s="1"/>
  <c r="A118" i="16"/>
  <c r="C23" i="7" s="1"/>
  <c r="A119" i="16"/>
  <c r="A120" i="16"/>
  <c r="C27" i="7"/>
  <c r="A121" i="16"/>
  <c r="C28" i="7"/>
  <c r="A122" i="16"/>
  <c r="C29" i="7"/>
  <c r="A123" i="16"/>
  <c r="C30" i="7"/>
  <c r="A124" i="16"/>
  <c r="C31" i="7"/>
  <c r="A125" i="16"/>
  <c r="C32" i="7"/>
  <c r="A126" i="16"/>
  <c r="C33" i="7"/>
  <c r="A127" i="16"/>
  <c r="C34" i="7"/>
  <c r="A128" i="16"/>
  <c r="C35" i="7"/>
  <c r="A129" i="16"/>
  <c r="C36" i="7"/>
  <c r="B62" i="6"/>
  <c r="AC3" i="12"/>
  <c r="AB3" i="12"/>
  <c r="AA3" i="12"/>
  <c r="D19" i="12"/>
  <c r="E19" i="12"/>
  <c r="F19" i="12"/>
  <c r="G19" i="12"/>
  <c r="H19" i="12"/>
  <c r="I19" i="12"/>
  <c r="J19" i="12"/>
  <c r="K19" i="12"/>
  <c r="L19" i="12"/>
  <c r="M19" i="12"/>
  <c r="N19" i="12"/>
  <c r="D19" i="11"/>
  <c r="E19" i="11"/>
  <c r="F19" i="11"/>
  <c r="G19" i="11"/>
  <c r="H19" i="11"/>
  <c r="I19" i="11"/>
  <c r="J19" i="11"/>
  <c r="K19" i="11"/>
  <c r="L19" i="11"/>
  <c r="M19" i="11"/>
  <c r="N19" i="11"/>
  <c r="AG69" i="2"/>
  <c r="B66" i="6"/>
  <c r="B65" i="6"/>
  <c r="B50" i="6"/>
  <c r="B47" i="6"/>
  <c r="B61" i="6"/>
  <c r="A140" i="16"/>
  <c r="A10" i="2"/>
  <c r="A10" i="6" s="1"/>
  <c r="A141" i="16"/>
  <c r="A11" i="2" s="1"/>
  <c r="A11" i="6"/>
  <c r="B12" i="17"/>
  <c r="C12" i="17"/>
  <c r="D12" i="17" s="1"/>
  <c r="F7" i="17"/>
  <c r="F12" i="17" s="1"/>
  <c r="E7" i="17"/>
  <c r="I7" i="17" s="1"/>
  <c r="C13" i="24"/>
  <c r="C19" i="24"/>
  <c r="C35" i="24" s="1"/>
  <c r="B19" i="18"/>
  <c r="B45" i="2"/>
  <c r="B45" i="6" s="1"/>
  <c r="L45" i="6"/>
  <c r="I9" i="17"/>
  <c r="I10" i="17"/>
  <c r="A265" i="16"/>
  <c r="C530" i="16"/>
  <c r="A530" i="16" s="1"/>
  <c r="A45" i="24" s="1"/>
  <c r="A479" i="16"/>
  <c r="A31" i="23"/>
  <c r="C498" i="16"/>
  <c r="A498" i="16"/>
  <c r="A8" i="24" s="1"/>
  <c r="A460" i="16"/>
  <c r="A9" i="23" s="1"/>
  <c r="E36" i="7"/>
  <c r="AF45" i="6"/>
  <c r="B34" i="6"/>
  <c r="B12" i="12" s="1"/>
  <c r="B26" i="12"/>
  <c r="A34" i="23"/>
  <c r="W51" i="24"/>
  <c r="I51" i="24"/>
  <c r="AD51" i="24"/>
  <c r="O51" i="24"/>
  <c r="N51" i="24"/>
  <c r="T51" i="24"/>
  <c r="AE51" i="24"/>
  <c r="V51" i="24"/>
  <c r="F51" i="24"/>
  <c r="E51" i="24"/>
  <c r="AA51" i="24"/>
  <c r="Y51" i="24"/>
  <c r="L51" i="24"/>
  <c r="U51" i="24"/>
  <c r="M51" i="24"/>
  <c r="D51" i="24"/>
  <c r="V50" i="24"/>
  <c r="C31" i="23"/>
  <c r="R51" i="24"/>
  <c r="B63" i="2"/>
  <c r="B63" i="6"/>
  <c r="B20" i="6"/>
  <c r="I131" i="6"/>
  <c r="E19" i="14"/>
  <c r="E15" i="11"/>
  <c r="T45" i="6"/>
  <c r="I31" i="17"/>
  <c r="K31" i="17"/>
  <c r="C54" i="17" s="1"/>
  <c r="D54" i="17" s="1"/>
  <c r="E54" i="17" s="1"/>
  <c r="F54" i="17" s="1"/>
  <c r="G54" i="17" s="1"/>
  <c r="H54" i="17" s="1"/>
  <c r="I54" i="17" s="1"/>
  <c r="J54" i="17" s="1"/>
  <c r="K54" i="17" s="1"/>
  <c r="L54" i="17" s="1"/>
  <c r="M54" i="17" s="1"/>
  <c r="N54" i="17" s="1"/>
  <c r="O54" i="17" s="1"/>
  <c r="P54" i="17" s="1"/>
  <c r="Q54" i="17" s="1"/>
  <c r="R54" i="17" s="1"/>
  <c r="S54" i="17" s="1"/>
  <c r="T54" i="17" s="1"/>
  <c r="U54" i="17" s="1"/>
  <c r="V54" i="17" s="1"/>
  <c r="W54" i="17" s="1"/>
  <c r="X54" i="17" s="1"/>
  <c r="Y54" i="17" s="1"/>
  <c r="Z54" i="17" s="1"/>
  <c r="AA54" i="17" s="1"/>
  <c r="AB54" i="17" s="1"/>
  <c r="AC54" i="17" s="1"/>
  <c r="AD54" i="17" s="1"/>
  <c r="AE54" i="17" s="1"/>
  <c r="AF54" i="17" s="1"/>
  <c r="AB87" i="2"/>
  <c r="Z87" i="2"/>
  <c r="I8" i="17"/>
  <c r="C42" i="24"/>
  <c r="D42" i="24" s="1"/>
  <c r="E42" i="24"/>
  <c r="F42" i="24" s="1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Q42" i="24" s="1"/>
  <c r="R42" i="24" s="1"/>
  <c r="S42" i="24" s="1"/>
  <c r="T42" i="24" s="1"/>
  <c r="U42" i="24" s="1"/>
  <c r="V42" i="24" s="1"/>
  <c r="W42" i="24" s="1"/>
  <c r="X42" i="24" s="1"/>
  <c r="Y42" i="24" s="1"/>
  <c r="Z42" i="24" s="1"/>
  <c r="AA42" i="24" s="1"/>
  <c r="AB42" i="24" s="1"/>
  <c r="AC42" i="24" s="1"/>
  <c r="AD42" i="24" s="1"/>
  <c r="AE42" i="24" s="1"/>
  <c r="AF42" i="24" s="1"/>
  <c r="C41" i="24"/>
  <c r="D41" i="24" s="1"/>
  <c r="E41" i="24" s="1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Q41" i="24" s="1"/>
  <c r="R41" i="24" s="1"/>
  <c r="S41" i="24" s="1"/>
  <c r="T41" i="24" s="1"/>
  <c r="U41" i="24" s="1"/>
  <c r="V41" i="24" s="1"/>
  <c r="W41" i="24" s="1"/>
  <c r="X41" i="24" s="1"/>
  <c r="Y41" i="24" s="1"/>
  <c r="Z41" i="24" s="1"/>
  <c r="AA41" i="24" s="1"/>
  <c r="AB41" i="24" s="1"/>
  <c r="AC41" i="24" s="1"/>
  <c r="AD41" i="24" s="1"/>
  <c r="AE41" i="24" s="1"/>
  <c r="AF41" i="24" s="1"/>
  <c r="J50" i="24"/>
  <c r="J51" i="24"/>
  <c r="AB51" i="24"/>
  <c r="Q51" i="24"/>
  <c r="D53" i="24"/>
  <c r="E53" i="24"/>
  <c r="F53" i="24" s="1"/>
  <c r="G53" i="24" s="1"/>
  <c r="H53" i="24" s="1"/>
  <c r="I53" i="24" s="1"/>
  <c r="J53" i="24" s="1"/>
  <c r="K53" i="24" s="1"/>
  <c r="L53" i="24" s="1"/>
  <c r="M53" i="24" s="1"/>
  <c r="N53" i="24" s="1"/>
  <c r="O53" i="24" s="1"/>
  <c r="P53" i="24" s="1"/>
  <c r="Q53" i="24" s="1"/>
  <c r="R53" i="24" s="1"/>
  <c r="S53" i="24" s="1"/>
  <c r="T53" i="24" s="1"/>
  <c r="U53" i="24" s="1"/>
  <c r="V53" i="24" s="1"/>
  <c r="W53" i="24" s="1"/>
  <c r="X53" i="24" s="1"/>
  <c r="Y53" i="24" s="1"/>
  <c r="Z53" i="24" s="1"/>
  <c r="AA53" i="24" s="1"/>
  <c r="AB53" i="24" s="1"/>
  <c r="AC53" i="24" s="1"/>
  <c r="AD53" i="24" s="1"/>
  <c r="AE53" i="24" s="1"/>
  <c r="AF53" i="24" s="1"/>
  <c r="S51" i="24"/>
  <c r="G51" i="24"/>
  <c r="AC51" i="24"/>
  <c r="AF51" i="24"/>
  <c r="Z51" i="24"/>
  <c r="X51" i="24"/>
  <c r="H51" i="24"/>
  <c r="K51" i="24"/>
  <c r="P51" i="24"/>
  <c r="I11" i="17"/>
  <c r="I12" i="17" s="1"/>
  <c r="E45" i="6"/>
  <c r="B34" i="17"/>
  <c r="B36" i="17" s="1"/>
  <c r="B27" i="11"/>
  <c r="C42" i="2"/>
  <c r="E13" i="11"/>
  <c r="H13" i="11" s="1"/>
  <c r="C28" i="11" s="1"/>
  <c r="C49" i="17"/>
  <c r="D49" i="17"/>
  <c r="E49" i="17" s="1"/>
  <c r="F49" i="17"/>
  <c r="G49" i="17" s="1"/>
  <c r="H49" i="17" s="1"/>
  <c r="I49" i="17" s="1"/>
  <c r="J49" i="17" s="1"/>
  <c r="K49" i="17" s="1"/>
  <c r="L49" i="17" s="1"/>
  <c r="M49" i="17" s="1"/>
  <c r="N49" i="17" s="1"/>
  <c r="O49" i="17" s="1"/>
  <c r="P49" i="17" s="1"/>
  <c r="Q49" i="17" s="1"/>
  <c r="R49" i="17" s="1"/>
  <c r="S49" i="17" s="1"/>
  <c r="T49" i="17" s="1"/>
  <c r="U49" i="17" s="1"/>
  <c r="V49" i="17" s="1"/>
  <c r="W49" i="17" s="1"/>
  <c r="X49" i="17" s="1"/>
  <c r="Y49" i="17" s="1"/>
  <c r="Z49" i="17" s="1"/>
  <c r="AA49" i="17" s="1"/>
  <c r="AB49" i="17" s="1"/>
  <c r="AC49" i="17" s="1"/>
  <c r="AD49" i="17" s="1"/>
  <c r="AE49" i="17" s="1"/>
  <c r="AF49" i="17" s="1"/>
  <c r="B5" i="6"/>
  <c r="C45" i="24"/>
  <c r="E12" i="17"/>
  <c r="D59" i="17"/>
  <c r="E59" i="17"/>
  <c r="E62" i="17" s="1"/>
  <c r="D60" i="17"/>
  <c r="E60" i="17" s="1"/>
  <c r="F60" i="17"/>
  <c r="G60" i="17" s="1"/>
  <c r="H60" i="17" s="1"/>
  <c r="I60" i="17" s="1"/>
  <c r="J60" i="17" s="1"/>
  <c r="K60" i="17" s="1"/>
  <c r="L60" i="17" s="1"/>
  <c r="M60" i="17" s="1"/>
  <c r="N60" i="17" s="1"/>
  <c r="O60" i="17" s="1"/>
  <c r="P60" i="17" s="1"/>
  <c r="Q60" i="17" s="1"/>
  <c r="R60" i="17" s="1"/>
  <c r="S60" i="17" s="1"/>
  <c r="T60" i="17" s="1"/>
  <c r="U60" i="17" s="1"/>
  <c r="V60" i="17" s="1"/>
  <c r="W60" i="17" s="1"/>
  <c r="X60" i="17" s="1"/>
  <c r="Y60" i="17" s="1"/>
  <c r="Z60" i="17" s="1"/>
  <c r="AA60" i="17" s="1"/>
  <c r="AB60" i="17" s="1"/>
  <c r="AC60" i="17" s="1"/>
  <c r="AD60" i="17" s="1"/>
  <c r="AE60" i="17" s="1"/>
  <c r="AF60" i="17" s="1"/>
  <c r="C58" i="17"/>
  <c r="D58" i="17"/>
  <c r="E58" i="17" s="1"/>
  <c r="F58" i="17"/>
  <c r="G58" i="17" s="1"/>
  <c r="H58" i="17" s="1"/>
  <c r="I58" i="17" s="1"/>
  <c r="J58" i="17" s="1"/>
  <c r="K58" i="17" s="1"/>
  <c r="L58" i="17" s="1"/>
  <c r="M58" i="17" s="1"/>
  <c r="N58" i="17" s="1"/>
  <c r="O58" i="17" s="1"/>
  <c r="P58" i="17" s="1"/>
  <c r="Q58" i="17" s="1"/>
  <c r="R58" i="17" s="1"/>
  <c r="S58" i="17" s="1"/>
  <c r="T58" i="17" s="1"/>
  <c r="U58" i="17" s="1"/>
  <c r="V58" i="17" s="1"/>
  <c r="W58" i="17" s="1"/>
  <c r="X58" i="17" s="1"/>
  <c r="Y58" i="17" s="1"/>
  <c r="Z58" i="17" s="1"/>
  <c r="AA58" i="17" s="1"/>
  <c r="AB58" i="17" s="1"/>
  <c r="AC58" i="17" s="1"/>
  <c r="AD58" i="17" s="1"/>
  <c r="AE58" i="17" s="1"/>
  <c r="AF58" i="17" s="1"/>
  <c r="C49" i="24"/>
  <c r="D49" i="24"/>
  <c r="E49" i="24" s="1"/>
  <c r="F49" i="24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Q49" i="24" s="1"/>
  <c r="R49" i="24" s="1"/>
  <c r="S49" i="24" s="1"/>
  <c r="T49" i="24" s="1"/>
  <c r="U49" i="24" s="1"/>
  <c r="V49" i="24" s="1"/>
  <c r="W49" i="24" s="1"/>
  <c r="X49" i="24" s="1"/>
  <c r="Y49" i="24" s="1"/>
  <c r="Z49" i="24" s="1"/>
  <c r="AA49" i="24" s="1"/>
  <c r="AB49" i="24" s="1"/>
  <c r="AC49" i="24" s="1"/>
  <c r="AD49" i="24" s="1"/>
  <c r="AE49" i="24" s="1"/>
  <c r="AF49" i="24" s="1"/>
  <c r="N45" i="6"/>
  <c r="Y45" i="6"/>
  <c r="AB45" i="6"/>
  <c r="Z45" i="6"/>
  <c r="I45" i="6"/>
  <c r="J45" i="6"/>
  <c r="D19" i="18"/>
  <c r="F19" i="14"/>
  <c r="W45" i="6"/>
  <c r="K45" i="6"/>
  <c r="S45" i="6"/>
  <c r="P45" i="6"/>
  <c r="C45" i="6"/>
  <c r="E22" i="20"/>
  <c r="J27" i="11"/>
  <c r="F14" i="12"/>
  <c r="AH93" i="6"/>
  <c r="B37" i="17"/>
  <c r="B39" i="17" s="1"/>
  <c r="C44" i="24"/>
  <c r="D62" i="17"/>
  <c r="D44" i="24"/>
  <c r="E44" i="24"/>
  <c r="F44" i="24" s="1"/>
  <c r="D42" i="2"/>
  <c r="G3" i="11"/>
  <c r="C39" i="24"/>
  <c r="D39" i="24"/>
  <c r="E39" i="24" s="1"/>
  <c r="F39" i="24"/>
  <c r="G39" i="24" s="1"/>
  <c r="H39" i="24" s="1"/>
  <c r="I39" i="24" s="1"/>
  <c r="J39" i="24" s="1"/>
  <c r="K39" i="24" s="1"/>
  <c r="L39" i="24" s="1"/>
  <c r="M39" i="24" s="1"/>
  <c r="N39" i="24" s="1"/>
  <c r="O39" i="24" s="1"/>
  <c r="P39" i="24" s="1"/>
  <c r="Q39" i="24" s="1"/>
  <c r="R39" i="24" s="1"/>
  <c r="S39" i="24" s="1"/>
  <c r="T39" i="24" s="1"/>
  <c r="U39" i="24" s="1"/>
  <c r="V39" i="24" s="1"/>
  <c r="W39" i="24" s="1"/>
  <c r="X39" i="24" s="1"/>
  <c r="Y39" i="24" s="1"/>
  <c r="Z39" i="24" s="1"/>
  <c r="AA39" i="24" s="1"/>
  <c r="AB39" i="24" s="1"/>
  <c r="AC39" i="24" s="1"/>
  <c r="AD39" i="24" s="1"/>
  <c r="AE39" i="24" s="1"/>
  <c r="AF39" i="24" s="1"/>
  <c r="B40" i="17"/>
  <c r="E13" i="12"/>
  <c r="H13" i="12"/>
  <c r="C28" i="12" s="1"/>
  <c r="C42" i="6"/>
  <c r="H3" i="11"/>
  <c r="E42" i="2"/>
  <c r="D25" i="20"/>
  <c r="D26" i="20" s="1"/>
  <c r="I3" i="11"/>
  <c r="E25" i="20"/>
  <c r="N50" i="24"/>
  <c r="R50" i="24"/>
  <c r="Q45" i="6"/>
  <c r="AA45" i="6"/>
  <c r="G45" i="6"/>
  <c r="AE45" i="6"/>
  <c r="M45" i="6"/>
  <c r="AC45" i="6"/>
  <c r="D45" i="6"/>
  <c r="H45" i="6"/>
  <c r="R45" i="6"/>
  <c r="AD45" i="6"/>
  <c r="O45" i="6"/>
  <c r="F45" i="6"/>
  <c r="A69" i="2"/>
  <c r="A70" i="2" s="1"/>
  <c r="A70" i="6"/>
  <c r="C34" i="23"/>
  <c r="Q50" i="24"/>
  <c r="W50" i="24"/>
  <c r="AB50" i="24"/>
  <c r="AF50" i="24"/>
  <c r="U50" i="24"/>
  <c r="T50" i="24"/>
  <c r="C37" i="24"/>
  <c r="E50" i="24"/>
  <c r="AE50" i="24"/>
  <c r="K50" i="24"/>
  <c r="L50" i="24"/>
  <c r="M50" i="24"/>
  <c r="D50" i="24"/>
  <c r="F50" i="24"/>
  <c r="P50" i="24"/>
  <c r="Z50" i="24"/>
  <c r="X50" i="24"/>
  <c r="AC50" i="24"/>
  <c r="G50" i="24"/>
  <c r="O50" i="24"/>
  <c r="K12" i="17"/>
  <c r="AH93" i="2"/>
  <c r="E7" i="14"/>
  <c r="E26" i="20"/>
  <c r="F42" i="2"/>
  <c r="E26" i="23"/>
  <c r="E27" i="23" s="1"/>
  <c r="D27" i="23"/>
  <c r="AE87" i="2"/>
  <c r="AE88" i="2"/>
  <c r="AD87" i="2"/>
  <c r="AD88" i="2"/>
  <c r="AC88" i="2"/>
  <c r="AC87" i="2"/>
  <c r="AA85" i="2"/>
  <c r="AA88" i="2" s="1"/>
  <c r="AF85" i="2"/>
  <c r="AF87" i="6"/>
  <c r="AC88" i="6"/>
  <c r="AB88" i="6"/>
  <c r="D131" i="6"/>
  <c r="O131" i="6"/>
  <c r="H131" i="6"/>
  <c r="N131" i="6"/>
  <c r="E131" i="6"/>
  <c r="C131" i="6"/>
  <c r="J131" i="6"/>
  <c r="L131" i="6"/>
  <c r="M131" i="6"/>
  <c r="K131" i="6"/>
  <c r="G131" i="6"/>
  <c r="F131" i="6"/>
  <c r="AE88" i="6"/>
  <c r="AE87" i="6"/>
  <c r="Z88" i="6"/>
  <c r="Z87" i="6"/>
  <c r="AD87" i="6"/>
  <c r="B11" i="14"/>
  <c r="E27" i="12"/>
  <c r="A45" i="2"/>
  <c r="A45" i="6" s="1"/>
  <c r="A15" i="12"/>
  <c r="G44" i="24"/>
  <c r="F26" i="23"/>
  <c r="F27" i="23" s="1"/>
  <c r="J3" i="11"/>
  <c r="F25" i="20"/>
  <c r="F26" i="20" s="1"/>
  <c r="G42" i="2"/>
  <c r="D38" i="23"/>
  <c r="D36" i="23"/>
  <c r="D37" i="23"/>
  <c r="D28" i="23"/>
  <c r="D40" i="23"/>
  <c r="AF88" i="2"/>
  <c r="AF87" i="2"/>
  <c r="AA87" i="2"/>
  <c r="H44" i="24"/>
  <c r="H42" i="2"/>
  <c r="L3" i="11" s="1"/>
  <c r="G26" i="23"/>
  <c r="G27" i="23" s="1"/>
  <c r="E40" i="23"/>
  <c r="E28" i="23"/>
  <c r="E30" i="23" s="1"/>
  <c r="E37" i="23"/>
  <c r="I44" i="24"/>
  <c r="J44" i="24" s="1"/>
  <c r="F37" i="23"/>
  <c r="F28" i="23"/>
  <c r="F31" i="23" s="1"/>
  <c r="F38" i="23"/>
  <c r="I42" i="2"/>
  <c r="J42" i="2" s="1"/>
  <c r="F30" i="23"/>
  <c r="G40" i="23"/>
  <c r="I25" i="20"/>
  <c r="F34" i="23"/>
  <c r="D47" i="2"/>
  <c r="D47" i="6"/>
  <c r="I47" i="2"/>
  <c r="I47" i="6"/>
  <c r="D16" i="12"/>
  <c r="K27" i="17"/>
  <c r="A37" i="17"/>
  <c r="A17" i="2"/>
  <c r="A17" i="6" s="1"/>
  <c r="A69" i="6"/>
  <c r="B35" i="6"/>
  <c r="D32" i="18"/>
  <c r="C17" i="11"/>
  <c r="E16" i="11"/>
  <c r="B32" i="6"/>
  <c r="C17" i="12"/>
  <c r="E16" i="12" s="1"/>
  <c r="J64" i="2"/>
  <c r="J64" i="6" s="1"/>
  <c r="H64" i="2"/>
  <c r="H64" i="6" s="1"/>
  <c r="AE74" i="2"/>
  <c r="M47" i="2"/>
  <c r="M47" i="6"/>
  <c r="O45" i="2"/>
  <c r="Y47" i="2"/>
  <c r="Y47" i="6" s="1"/>
  <c r="V45" i="2"/>
  <c r="K45" i="2"/>
  <c r="D27" i="20"/>
  <c r="D29" i="20" s="1"/>
  <c r="D31" i="20" s="1"/>
  <c r="D60" i="2" s="1"/>
  <c r="E27" i="20"/>
  <c r="D33" i="18"/>
  <c r="F7" i="14"/>
  <c r="D39" i="18"/>
  <c r="I126" i="6"/>
  <c r="B38" i="6"/>
  <c r="H14" i="12"/>
  <c r="K28" i="11"/>
  <c r="C29" i="11"/>
  <c r="C29" i="12"/>
  <c r="K28" i="12"/>
  <c r="C15" i="12"/>
  <c r="F22" i="14"/>
  <c r="C15" i="11"/>
  <c r="H17" i="11"/>
  <c r="K16" i="11"/>
  <c r="B33" i="6"/>
  <c r="H17" i="12"/>
  <c r="K16" i="12" s="1"/>
  <c r="F25" i="14"/>
  <c r="D25" i="18"/>
  <c r="E25" i="14"/>
  <c r="B31" i="2"/>
  <c r="F59" i="17"/>
  <c r="B8" i="6"/>
  <c r="F10" i="14"/>
  <c r="E30" i="20"/>
  <c r="F27" i="20"/>
  <c r="U47" i="2"/>
  <c r="U47" i="6"/>
  <c r="AB60" i="2"/>
  <c r="P64" i="2"/>
  <c r="P64" i="6" s="1"/>
  <c r="AF45" i="2"/>
  <c r="C48" i="2"/>
  <c r="AE62" i="2"/>
  <c r="AE62" i="6" s="1"/>
  <c r="AB44" i="2"/>
  <c r="F45" i="2"/>
  <c r="AE60" i="2"/>
  <c r="AD44" i="2"/>
  <c r="AA47" i="2"/>
  <c r="AA47" i="6" s="1"/>
  <c r="AC65" i="2"/>
  <c r="AC67" i="2" s="1"/>
  <c r="AC68" i="2" s="1"/>
  <c r="AB62" i="2"/>
  <c r="AB62" i="6" s="1"/>
  <c r="T47" i="2"/>
  <c r="T47" i="6" s="1"/>
  <c r="AF66" i="2"/>
  <c r="AF82" i="2" s="1"/>
  <c r="R45" i="2"/>
  <c r="AC60" i="2"/>
  <c r="AF43" i="2"/>
  <c r="AF50" i="2"/>
  <c r="AF46" i="2"/>
  <c r="AF46" i="6" s="1"/>
  <c r="AC43" i="2"/>
  <c r="AE46" i="2"/>
  <c r="AE46" i="6"/>
  <c r="AF64" i="2"/>
  <c r="AF64" i="6"/>
  <c r="AC48" i="2"/>
  <c r="K47" i="2"/>
  <c r="K47" i="6" s="1"/>
  <c r="AE71" i="2"/>
  <c r="Z45" i="2"/>
  <c r="AB47" i="2"/>
  <c r="AB47" i="6"/>
  <c r="AD43" i="2"/>
  <c r="AE49" i="2"/>
  <c r="N64" i="2"/>
  <c r="N64" i="6"/>
  <c r="AC46" i="2"/>
  <c r="AC46" i="6"/>
  <c r="AF49" i="2"/>
  <c r="AF52" i="2"/>
  <c r="AC66" i="2"/>
  <c r="AC82" i="2"/>
  <c r="S64" i="2"/>
  <c r="S64" i="6" s="1"/>
  <c r="AB49" i="2"/>
  <c r="N47" i="2"/>
  <c r="N47" i="6"/>
  <c r="P45" i="2"/>
  <c r="AC50" i="2"/>
  <c r="Q47" i="2"/>
  <c r="Q47" i="6" s="1"/>
  <c r="Y64" i="2"/>
  <c r="Y64" i="6" s="1"/>
  <c r="X45" i="2"/>
  <c r="X47" i="2"/>
  <c r="X47" i="6"/>
  <c r="M64" i="2"/>
  <c r="M64" i="6"/>
  <c r="AC62" i="2"/>
  <c r="AC62" i="6"/>
  <c r="J47" i="2"/>
  <c r="J47" i="6" s="1"/>
  <c r="F47" i="2"/>
  <c r="F47" i="6" s="1"/>
  <c r="O47" i="2"/>
  <c r="O47" i="6" s="1"/>
  <c r="L47" i="2"/>
  <c r="L47" i="6" s="1"/>
  <c r="R64" i="2"/>
  <c r="R64" i="6" s="1"/>
  <c r="T64" i="2"/>
  <c r="T64" i="6" s="1"/>
  <c r="C46" i="2"/>
  <c r="C46" i="6" s="1"/>
  <c r="AD62" i="2"/>
  <c r="AD62" i="6"/>
  <c r="M45" i="2"/>
  <c r="AE61" i="2"/>
  <c r="AE61" i="6" s="1"/>
  <c r="W47" i="2"/>
  <c r="W47" i="6" s="1"/>
  <c r="H47" i="2"/>
  <c r="H47" i="6" s="1"/>
  <c r="C64" i="2"/>
  <c r="C64" i="6" s="1"/>
  <c r="AD61" i="2"/>
  <c r="AD61" i="6" s="1"/>
  <c r="AF71" i="2"/>
  <c r="W64" i="2"/>
  <c r="W64" i="6"/>
  <c r="AD50" i="2"/>
  <c r="C61" i="2"/>
  <c r="D61" i="2" s="1"/>
  <c r="C61" i="6"/>
  <c r="AE45" i="2"/>
  <c r="AF61" i="2"/>
  <c r="AF61" i="6" s="1"/>
  <c r="L45" i="2"/>
  <c r="Z47" i="2"/>
  <c r="Z47" i="6" s="1"/>
  <c r="D45" i="2"/>
  <c r="AC71" i="2"/>
  <c r="AE47" i="2"/>
  <c r="AE47" i="6" s="1"/>
  <c r="AD45" i="2"/>
  <c r="AA64" i="2"/>
  <c r="AA64" i="6"/>
  <c r="X64" i="2"/>
  <c r="X64" i="6"/>
  <c r="D64" i="2"/>
  <c r="D64" i="6"/>
  <c r="F64" i="2"/>
  <c r="F64" i="6"/>
  <c r="AC44" i="2"/>
  <c r="G64" i="2"/>
  <c r="G64" i="6" s="1"/>
  <c r="B9" i="6"/>
  <c r="C47" i="2"/>
  <c r="C47" i="6"/>
  <c r="E47" i="2"/>
  <c r="E47" i="6"/>
  <c r="AE43" i="2"/>
  <c r="AB50" i="2"/>
  <c r="AB51" i="2" s="1"/>
  <c r="AB100" i="2" s="1"/>
  <c r="AE44" i="2"/>
  <c r="AD47" i="2"/>
  <c r="AD47" i="6"/>
  <c r="I64" i="2"/>
  <c r="I64" i="6"/>
  <c r="C45" i="2"/>
  <c r="G45" i="2"/>
  <c r="AE65" i="2"/>
  <c r="Q45" i="2"/>
  <c r="S47" i="2"/>
  <c r="S47" i="6" s="1"/>
  <c r="H45" i="2"/>
  <c r="AE50" i="2"/>
  <c r="AE51" i="2" s="1"/>
  <c r="AD46" i="2"/>
  <c r="AD46" i="6" s="1"/>
  <c r="P47" i="2"/>
  <c r="P47" i="6" s="1"/>
  <c r="AB64" i="2"/>
  <c r="AB64" i="6" s="1"/>
  <c r="U64" i="2"/>
  <c r="U64" i="6" s="1"/>
  <c r="AB71" i="2"/>
  <c r="V64" i="2"/>
  <c r="V64" i="6"/>
  <c r="AF60" i="2"/>
  <c r="AB61" i="2"/>
  <c r="AB61" i="6"/>
  <c r="S45" i="2"/>
  <c r="Q64" i="2"/>
  <c r="Q64" i="6"/>
  <c r="T45" i="2"/>
  <c r="AC64" i="2"/>
  <c r="AC64" i="6" s="1"/>
  <c r="AF62" i="2"/>
  <c r="AF62" i="6" s="1"/>
  <c r="AD64" i="2"/>
  <c r="AD64" i="6" s="1"/>
  <c r="AB65" i="2"/>
  <c r="AB67" i="2"/>
  <c r="AB68" i="2" s="1"/>
  <c r="AB69" i="2" s="1"/>
  <c r="Z64" i="2"/>
  <c r="Z64" i="6" s="1"/>
  <c r="AF65" i="2"/>
  <c r="AF67" i="2" s="1"/>
  <c r="AB66" i="2"/>
  <c r="AB82" i="2"/>
  <c r="AA49" i="2"/>
  <c r="AA52" i="2"/>
  <c r="AB48" i="2"/>
  <c r="K64" i="2"/>
  <c r="K64" i="6" s="1"/>
  <c r="AC74" i="2"/>
  <c r="AF44" i="2"/>
  <c r="AF47" i="2"/>
  <c r="AF47" i="6"/>
  <c r="L64" i="2"/>
  <c r="L64" i="6"/>
  <c r="AD71" i="2"/>
  <c r="AC61" i="2"/>
  <c r="AC61" i="6" s="1"/>
  <c r="AE66" i="2"/>
  <c r="AE82" i="2" s="1"/>
  <c r="AB43" i="2"/>
  <c r="Y45" i="2"/>
  <c r="AC47" i="2"/>
  <c r="AC47" i="6" s="1"/>
  <c r="O64" i="2"/>
  <c r="O64" i="6" s="1"/>
  <c r="J45" i="2"/>
  <c r="D62" i="2"/>
  <c r="D62" i="6"/>
  <c r="AE64" i="2"/>
  <c r="AE64" i="6" s="1"/>
  <c r="AD74" i="2"/>
  <c r="AC45" i="2"/>
  <c r="U45" i="2"/>
  <c r="I45" i="2"/>
  <c r="E64" i="2"/>
  <c r="E64" i="6"/>
  <c r="AF74" i="2"/>
  <c r="AD48" i="2"/>
  <c r="V47" i="2"/>
  <c r="V47" i="6" s="1"/>
  <c r="AB74" i="2"/>
  <c r="AD49" i="2"/>
  <c r="AD51" i="2" s="1"/>
  <c r="AD49" i="6"/>
  <c r="AF48" i="2"/>
  <c r="E45" i="2"/>
  <c r="AE48" i="2"/>
  <c r="AD66" i="2"/>
  <c r="AD82" i="2" s="1"/>
  <c r="AA45" i="2"/>
  <c r="AD60" i="2"/>
  <c r="AB46" i="2"/>
  <c r="AB46" i="6"/>
  <c r="AD65" i="2"/>
  <c r="AD67" i="2"/>
  <c r="AD68" i="2" s="1"/>
  <c r="AD69" i="2" s="1"/>
  <c r="G47" i="2"/>
  <c r="G47" i="6"/>
  <c r="R47" i="2"/>
  <c r="R47" i="6"/>
  <c r="AC49" i="2"/>
  <c r="AC49" i="6"/>
  <c r="AC52" i="6" s="1"/>
  <c r="W45" i="2"/>
  <c r="AB45" i="2"/>
  <c r="N45" i="2"/>
  <c r="F29" i="20"/>
  <c r="E29" i="20"/>
  <c r="D30" i="20"/>
  <c r="B46" i="2"/>
  <c r="AD52" i="2"/>
  <c r="C6" i="25"/>
  <c r="B9" i="18"/>
  <c r="B17" i="2"/>
  <c r="AD52" i="6"/>
  <c r="AA49" i="6"/>
  <c r="AA52" i="6"/>
  <c r="C30" i="20"/>
  <c r="C31" i="20"/>
  <c r="B13" i="18" s="1"/>
  <c r="B25" i="2" s="1"/>
  <c r="B25" i="6" s="1"/>
  <c r="C60" i="6" s="1"/>
  <c r="C65" i="6" s="1"/>
  <c r="C8" i="25"/>
  <c r="AF51" i="2"/>
  <c r="AC51" i="2"/>
  <c r="B25" i="17"/>
  <c r="A16" i="2"/>
  <c r="A16" i="6"/>
  <c r="AH96" i="2"/>
  <c r="I16" i="12"/>
  <c r="A17" i="11"/>
  <c r="I14" i="12"/>
  <c r="I17" i="12"/>
  <c r="K78" i="2"/>
  <c r="F9" i="14"/>
  <c r="J78" i="6"/>
  <c r="A36" i="23"/>
  <c r="F12" i="14"/>
  <c r="F15" i="14"/>
  <c r="C27" i="12"/>
  <c r="F27" i="12"/>
  <c r="P11" i="12"/>
  <c r="F21" i="14"/>
  <c r="F18" i="14"/>
  <c r="F27" i="14"/>
  <c r="F6" i="14"/>
  <c r="K27" i="11"/>
  <c r="H27" i="11"/>
  <c r="E26" i="7"/>
  <c r="I27" i="12"/>
  <c r="F13" i="11"/>
  <c r="L27" i="11"/>
  <c r="B23" i="14"/>
  <c r="A14" i="11"/>
  <c r="A14" i="12"/>
  <c r="A27" i="12"/>
  <c r="A27" i="11"/>
  <c r="B5" i="14"/>
  <c r="I18" i="12"/>
  <c r="D15" i="12"/>
  <c r="G27" i="11"/>
  <c r="B27" i="12"/>
  <c r="D13" i="11"/>
  <c r="D13" i="12"/>
  <c r="E12" i="14"/>
  <c r="E15" i="14"/>
  <c r="D27" i="12"/>
  <c r="D27" i="11"/>
  <c r="F17" i="11"/>
  <c r="F17" i="12"/>
  <c r="D6" i="7"/>
  <c r="D26" i="7"/>
  <c r="I15" i="12"/>
  <c r="I15" i="11"/>
  <c r="D6" i="12"/>
  <c r="D6" i="11"/>
  <c r="I16" i="17"/>
  <c r="I27" i="17"/>
  <c r="I13" i="11"/>
  <c r="I13" i="12"/>
  <c r="D4" i="12"/>
  <c r="D4" i="11"/>
  <c r="J16" i="17"/>
  <c r="J27" i="17"/>
  <c r="E18" i="14"/>
  <c r="E27" i="14"/>
  <c r="E24" i="14"/>
  <c r="E6" i="14"/>
  <c r="E9" i="14"/>
  <c r="A43" i="2"/>
  <c r="A43" i="6" s="1"/>
  <c r="B14" i="14"/>
  <c r="A35" i="2"/>
  <c r="A35" i="6"/>
  <c r="B20" i="14"/>
  <c r="A8" i="2"/>
  <c r="A8" i="6" s="1"/>
  <c r="B8" i="14"/>
  <c r="A20" i="11"/>
  <c r="F16" i="11"/>
  <c r="D5" i="11"/>
  <c r="D5" i="12"/>
  <c r="P10" i="11"/>
  <c r="A26" i="11"/>
  <c r="P10" i="12"/>
  <c r="A44" i="2"/>
  <c r="A44" i="6" s="1"/>
  <c r="C25" i="7"/>
  <c r="AH94" i="6"/>
  <c r="AH97" i="6"/>
  <c r="AH94" i="2"/>
  <c r="M126" i="6"/>
  <c r="O126" i="6"/>
  <c r="D126" i="6"/>
  <c r="H126" i="6"/>
  <c r="E126" i="6"/>
  <c r="G126" i="6"/>
  <c r="F126" i="6"/>
  <c r="N126" i="6"/>
  <c r="J126" i="6"/>
  <c r="K126" i="6"/>
  <c r="C126" i="6"/>
  <c r="L126" i="6"/>
  <c r="K29" i="12"/>
  <c r="C30" i="12"/>
  <c r="C30" i="11"/>
  <c r="B30" i="11" s="1"/>
  <c r="K29" i="11"/>
  <c r="F28" i="11"/>
  <c r="F29" i="11"/>
  <c r="F28" i="12"/>
  <c r="B29" i="11"/>
  <c r="A29" i="11"/>
  <c r="E17" i="11"/>
  <c r="B31" i="6"/>
  <c r="E17" i="12"/>
  <c r="F62" i="17"/>
  <c r="G59" i="17"/>
  <c r="C60" i="2"/>
  <c r="C65" i="2" s="1"/>
  <c r="AC52" i="2"/>
  <c r="AF49" i="6"/>
  <c r="AF52" i="6" s="1"/>
  <c r="E31" i="20"/>
  <c r="E60" i="2" s="1"/>
  <c r="AE49" i="6"/>
  <c r="AE52" i="6" s="1"/>
  <c r="AE52" i="2"/>
  <c r="F30" i="20"/>
  <c r="F31" i="20"/>
  <c r="F60" i="2" s="1"/>
  <c r="AB49" i="6"/>
  <c r="AB52" i="6"/>
  <c r="AB52" i="2"/>
  <c r="AE67" i="2"/>
  <c r="D48" i="6"/>
  <c r="E48" i="6" s="1"/>
  <c r="F48" i="6" s="1"/>
  <c r="G48" i="6" s="1"/>
  <c r="H48" i="6" s="1"/>
  <c r="I48" i="6" s="1"/>
  <c r="J48" i="6" s="1"/>
  <c r="K48" i="6" s="1"/>
  <c r="L48" i="6" s="1"/>
  <c r="M48" i="6" s="1"/>
  <c r="N48" i="6" s="1"/>
  <c r="O48" i="6" s="1"/>
  <c r="P48" i="6" s="1"/>
  <c r="Q48" i="6" s="1"/>
  <c r="R48" i="6" s="1"/>
  <c r="S48" i="6" s="1"/>
  <c r="T48" i="6" s="1"/>
  <c r="U48" i="6" s="1"/>
  <c r="V48" i="6" s="1"/>
  <c r="W48" i="6" s="1"/>
  <c r="X48" i="6" s="1"/>
  <c r="Y48" i="6" s="1"/>
  <c r="Z48" i="6" s="1"/>
  <c r="AA48" i="6" s="1"/>
  <c r="AC66" i="6"/>
  <c r="AC82" i="6" s="1"/>
  <c r="AB65" i="6"/>
  <c r="AC71" i="6"/>
  <c r="AB44" i="6"/>
  <c r="AD65" i="6"/>
  <c r="AD48" i="6"/>
  <c r="AC65" i="6"/>
  <c r="AF48" i="6"/>
  <c r="AB48" i="6"/>
  <c r="AE66" i="6"/>
  <c r="AE82" i="6" s="1"/>
  <c r="AD50" i="6"/>
  <c r="AD51" i="6" s="1"/>
  <c r="AC48" i="6"/>
  <c r="AD74" i="6"/>
  <c r="AB71" i="6"/>
  <c r="AC50" i="6"/>
  <c r="AC51" i="6"/>
  <c r="AD71" i="6"/>
  <c r="AB50" i="6"/>
  <c r="AB51" i="6"/>
  <c r="AF74" i="6"/>
  <c r="AF44" i="6"/>
  <c r="AE74" i="6"/>
  <c r="AB66" i="6"/>
  <c r="AB82" i="6" s="1"/>
  <c r="AC44" i="6"/>
  <c r="AC43" i="6"/>
  <c r="AC74" i="6"/>
  <c r="AE43" i="6"/>
  <c r="AE65" i="6"/>
  <c r="AD44" i="6"/>
  <c r="AE71" i="6"/>
  <c r="AE50" i="6"/>
  <c r="AE51" i="6"/>
  <c r="AF71" i="6"/>
  <c r="AE48" i="6"/>
  <c r="AE44" i="6"/>
  <c r="AF50" i="6"/>
  <c r="AF51" i="6" s="1"/>
  <c r="AF65" i="6"/>
  <c r="AB74" i="6"/>
  <c r="AB43" i="6"/>
  <c r="AD66" i="6"/>
  <c r="AD82" i="6"/>
  <c r="AF43" i="6"/>
  <c r="AD43" i="6"/>
  <c r="AF66" i="6"/>
  <c r="AF82" i="6"/>
  <c r="E62" i="2"/>
  <c r="B202" i="6"/>
  <c r="C202" i="6" s="1"/>
  <c r="D202" i="6" s="1"/>
  <c r="E202" i="6" s="1"/>
  <c r="F202" i="6" s="1"/>
  <c r="G202" i="6" s="1"/>
  <c r="H202" i="6" s="1"/>
  <c r="I202" i="6" s="1"/>
  <c r="J202" i="6" s="1"/>
  <c r="K202" i="6" s="1"/>
  <c r="L202" i="6" s="1"/>
  <c r="M202" i="6" s="1"/>
  <c r="N202" i="6" s="1"/>
  <c r="O202" i="6" s="1"/>
  <c r="P202" i="6" s="1"/>
  <c r="Q202" i="6" s="1"/>
  <c r="R202" i="6" s="1"/>
  <c r="S202" i="6" s="1"/>
  <c r="T202" i="6" s="1"/>
  <c r="U202" i="6" s="1"/>
  <c r="V202" i="6" s="1"/>
  <c r="B227" i="6"/>
  <c r="C227" i="6" s="1"/>
  <c r="D227" i="6" s="1"/>
  <c r="E227" i="6" s="1"/>
  <c r="F227" i="6" s="1"/>
  <c r="G227" i="6" s="1"/>
  <c r="H227" i="6" s="1"/>
  <c r="I227" i="6" s="1"/>
  <c r="J227" i="6" s="1"/>
  <c r="K227" i="6" s="1"/>
  <c r="L227" i="6" s="1"/>
  <c r="M227" i="6" s="1"/>
  <c r="N227" i="6" s="1"/>
  <c r="O227" i="6" s="1"/>
  <c r="P227" i="6" s="1"/>
  <c r="Q227" i="6" s="1"/>
  <c r="R227" i="6" s="1"/>
  <c r="S227" i="6" s="1"/>
  <c r="T227" i="6" s="1"/>
  <c r="U227" i="6" s="1"/>
  <c r="V227" i="6" s="1"/>
  <c r="B188" i="6"/>
  <c r="C188" i="6" s="1"/>
  <c r="D188" i="6" s="1"/>
  <c r="E188" i="6" s="1"/>
  <c r="F188" i="6" s="1"/>
  <c r="G188" i="6" s="1"/>
  <c r="H188" i="6" s="1"/>
  <c r="I188" i="6" s="1"/>
  <c r="J188" i="6" s="1"/>
  <c r="K188" i="6" s="1"/>
  <c r="L188" i="6" s="1"/>
  <c r="M188" i="6" s="1"/>
  <c r="N188" i="6" s="1"/>
  <c r="O188" i="6" s="1"/>
  <c r="P188" i="6" s="1"/>
  <c r="Q188" i="6" s="1"/>
  <c r="R188" i="6" s="1"/>
  <c r="S188" i="6" s="1"/>
  <c r="T188" i="6" s="1"/>
  <c r="U188" i="6" s="1"/>
  <c r="V188" i="6" s="1"/>
  <c r="B220" i="6"/>
  <c r="C220" i="6" s="1"/>
  <c r="D220" i="6" s="1"/>
  <c r="E220" i="6" s="1"/>
  <c r="F220" i="6" s="1"/>
  <c r="G220" i="6" s="1"/>
  <c r="H220" i="6" s="1"/>
  <c r="I220" i="6" s="1"/>
  <c r="J220" i="6" s="1"/>
  <c r="K220" i="6" s="1"/>
  <c r="L220" i="6" s="1"/>
  <c r="M220" i="6" s="1"/>
  <c r="N220" i="6" s="1"/>
  <c r="O220" i="6" s="1"/>
  <c r="P220" i="6" s="1"/>
  <c r="Q220" i="6" s="1"/>
  <c r="R220" i="6" s="1"/>
  <c r="S220" i="6" s="1"/>
  <c r="T220" i="6" s="1"/>
  <c r="U220" i="6" s="1"/>
  <c r="V220" i="6" s="1"/>
  <c r="B195" i="6"/>
  <c r="C195" i="6" s="1"/>
  <c r="D195" i="6" s="1"/>
  <c r="E195" i="6" s="1"/>
  <c r="F195" i="6" s="1"/>
  <c r="G195" i="6" s="1"/>
  <c r="H195" i="6" s="1"/>
  <c r="I195" i="6" s="1"/>
  <c r="J195" i="6" s="1"/>
  <c r="K195" i="6" s="1"/>
  <c r="L195" i="6" s="1"/>
  <c r="M195" i="6" s="1"/>
  <c r="N195" i="6" s="1"/>
  <c r="O195" i="6" s="1"/>
  <c r="P195" i="6" s="1"/>
  <c r="Q195" i="6" s="1"/>
  <c r="R195" i="6" s="1"/>
  <c r="S195" i="6" s="1"/>
  <c r="T195" i="6" s="1"/>
  <c r="U195" i="6" s="1"/>
  <c r="V195" i="6" s="1"/>
  <c r="B46" i="6"/>
  <c r="B213" i="6"/>
  <c r="C213" i="6" s="1"/>
  <c r="D213" i="6" s="1"/>
  <c r="E213" i="6" s="1"/>
  <c r="F213" i="6" s="1"/>
  <c r="G213" i="6" s="1"/>
  <c r="H213" i="6" s="1"/>
  <c r="I213" i="6" s="1"/>
  <c r="J213" i="6" s="1"/>
  <c r="K213" i="6" s="1"/>
  <c r="L213" i="6" s="1"/>
  <c r="M213" i="6" s="1"/>
  <c r="N213" i="6" s="1"/>
  <c r="O213" i="6" s="1"/>
  <c r="P213" i="6" s="1"/>
  <c r="Q213" i="6" s="1"/>
  <c r="R213" i="6" s="1"/>
  <c r="S213" i="6" s="1"/>
  <c r="T213" i="6" s="1"/>
  <c r="U213" i="6" s="1"/>
  <c r="V213" i="6" s="1"/>
  <c r="E13" i="14"/>
  <c r="B17" i="6"/>
  <c r="E28" i="14"/>
  <c r="B13" i="2"/>
  <c r="B21" i="2"/>
  <c r="B26" i="18"/>
  <c r="B27" i="18"/>
  <c r="AC69" i="2"/>
  <c r="A26" i="12"/>
  <c r="L78" i="2"/>
  <c r="K78" i="6"/>
  <c r="G28" i="12"/>
  <c r="G28" i="11"/>
  <c r="K30" i="11"/>
  <c r="C31" i="11"/>
  <c r="F30" i="11"/>
  <c r="C31" i="12"/>
  <c r="K30" i="12"/>
  <c r="I30" i="11"/>
  <c r="G30" i="11"/>
  <c r="A30" i="11"/>
  <c r="E30" i="11"/>
  <c r="H30" i="11"/>
  <c r="K15" i="12"/>
  <c r="D17" i="12"/>
  <c r="K15" i="11"/>
  <c r="D17" i="11"/>
  <c r="H59" i="17"/>
  <c r="G62" i="17"/>
  <c r="AE68" i="2"/>
  <c r="AE100" i="2"/>
  <c r="AB70" i="2"/>
  <c r="AE67" i="6"/>
  <c r="AE68" i="6"/>
  <c r="AE69" i="6" s="1"/>
  <c r="AC67" i="6"/>
  <c r="AC68" i="6" s="1"/>
  <c r="B13" i="6"/>
  <c r="P49" i="2"/>
  <c r="N49" i="2"/>
  <c r="X49" i="2"/>
  <c r="Q49" i="2"/>
  <c r="T49" i="2"/>
  <c r="O49" i="2"/>
  <c r="Y49" i="2"/>
  <c r="Z49" i="2"/>
  <c r="D49" i="2"/>
  <c r="U49" i="2"/>
  <c r="K49" i="2"/>
  <c r="I49" i="2"/>
  <c r="M49" i="2"/>
  <c r="S49" i="2"/>
  <c r="G49" i="2"/>
  <c r="C49" i="2"/>
  <c r="E49" i="2"/>
  <c r="R49" i="2"/>
  <c r="J49" i="2"/>
  <c r="L49" i="2"/>
  <c r="W49" i="2"/>
  <c r="H49" i="2"/>
  <c r="F49" i="2"/>
  <c r="V49" i="2"/>
  <c r="E62" i="6"/>
  <c r="F62" i="2"/>
  <c r="AF67" i="6"/>
  <c r="AF68" i="6"/>
  <c r="AF69" i="6" s="1"/>
  <c r="AD67" i="6"/>
  <c r="AD68" i="6"/>
  <c r="AD69" i="6" s="1"/>
  <c r="AB67" i="6"/>
  <c r="AB68" i="6" s="1"/>
  <c r="AC100" i="2"/>
  <c r="F13" i="14"/>
  <c r="AE60" i="6"/>
  <c r="D13" i="18"/>
  <c r="F60" i="6"/>
  <c r="AC60" i="6"/>
  <c r="D60" i="6"/>
  <c r="AF60" i="6"/>
  <c r="E60" i="6"/>
  <c r="AD60" i="6"/>
  <c r="AB60" i="6"/>
  <c r="B21" i="6"/>
  <c r="D5" i="18"/>
  <c r="F28" i="14"/>
  <c r="AC81" i="2"/>
  <c r="AC83" i="2"/>
  <c r="AC73" i="2"/>
  <c r="AC70" i="2"/>
  <c r="B93" i="2"/>
  <c r="B96" i="2"/>
  <c r="B29" i="2"/>
  <c r="B70" i="2"/>
  <c r="B100" i="2"/>
  <c r="B238" i="6"/>
  <c r="B241" i="6" s="1"/>
  <c r="B140" i="6"/>
  <c r="L78" i="6"/>
  <c r="M78" i="2"/>
  <c r="J30" i="11"/>
  <c r="J66" i="6"/>
  <c r="J82" i="6" s="1"/>
  <c r="D66" i="6"/>
  <c r="D82" i="6" s="1"/>
  <c r="C66" i="6"/>
  <c r="C82" i="6" s="1"/>
  <c r="G66" i="6"/>
  <c r="G82" i="6" s="1"/>
  <c r="X66" i="6"/>
  <c r="X82" i="6" s="1"/>
  <c r="P66" i="6"/>
  <c r="P82" i="6" s="1"/>
  <c r="L66" i="6"/>
  <c r="L82" i="6" s="1"/>
  <c r="F66" i="6"/>
  <c r="F82" i="6" s="1"/>
  <c r="Y66" i="6"/>
  <c r="Y82" i="6" s="1"/>
  <c r="O66" i="6"/>
  <c r="O82" i="6" s="1"/>
  <c r="T66" i="6"/>
  <c r="T82" i="6" s="1"/>
  <c r="V66" i="6"/>
  <c r="V82" i="6" s="1"/>
  <c r="Q66" i="6"/>
  <c r="Q82" i="6" s="1"/>
  <c r="U66" i="6"/>
  <c r="U82" i="6" s="1"/>
  <c r="I66" i="6"/>
  <c r="I82" i="6" s="1"/>
  <c r="Z66" i="6"/>
  <c r="Z82" i="6" s="1"/>
  <c r="H66" i="6"/>
  <c r="H82" i="6" s="1"/>
  <c r="N66" i="6"/>
  <c r="N82" i="6" s="1"/>
  <c r="AA66" i="6"/>
  <c r="AA82" i="6" s="1"/>
  <c r="W66" i="6"/>
  <c r="W82" i="6" s="1"/>
  <c r="K66" i="6"/>
  <c r="K82" i="6" s="1"/>
  <c r="R66" i="6"/>
  <c r="R82" i="6" s="1"/>
  <c r="E66" i="6"/>
  <c r="E82" i="6" s="1"/>
  <c r="M66" i="6"/>
  <c r="M82" i="6" s="1"/>
  <c r="S66" i="6"/>
  <c r="S82" i="6" s="1"/>
  <c r="K31" i="12"/>
  <c r="C32" i="12"/>
  <c r="F31" i="12"/>
  <c r="B31" i="12"/>
  <c r="K31" i="11"/>
  <c r="C32" i="11"/>
  <c r="F31" i="11"/>
  <c r="B31" i="11"/>
  <c r="I59" i="17"/>
  <c r="H62" i="17"/>
  <c r="AE100" i="6"/>
  <c r="AF100" i="6"/>
  <c r="AD100" i="6"/>
  <c r="AE69" i="2"/>
  <c r="AE70" i="2" s="1"/>
  <c r="F62" i="6"/>
  <c r="G62" i="2"/>
  <c r="R49" i="6"/>
  <c r="R52" i="6" s="1"/>
  <c r="R52" i="2"/>
  <c r="U49" i="6"/>
  <c r="U52" i="6"/>
  <c r="U52" i="2"/>
  <c r="N52" i="2"/>
  <c r="N49" i="6"/>
  <c r="N52" i="6"/>
  <c r="W52" i="2"/>
  <c r="W49" i="6"/>
  <c r="W52" i="6"/>
  <c r="E49" i="6"/>
  <c r="E52" i="2"/>
  <c r="D52" i="2"/>
  <c r="D49" i="6"/>
  <c r="T52" i="2"/>
  <c r="T49" i="6"/>
  <c r="T52" i="6" s="1"/>
  <c r="P52" i="2"/>
  <c r="P49" i="6"/>
  <c r="P52" i="6"/>
  <c r="V49" i="6"/>
  <c r="V52" i="6" s="1"/>
  <c r="V52" i="2"/>
  <c r="L52" i="2"/>
  <c r="L49" i="6"/>
  <c r="L52" i="6" s="1"/>
  <c r="C52" i="2"/>
  <c r="C49" i="6"/>
  <c r="I49" i="6"/>
  <c r="I52" i="6" s="1"/>
  <c r="I52" i="2"/>
  <c r="Z52" i="2"/>
  <c r="Z49" i="6"/>
  <c r="Z52" i="6" s="1"/>
  <c r="Q52" i="2"/>
  <c r="Q49" i="6"/>
  <c r="Q52" i="6"/>
  <c r="H49" i="6"/>
  <c r="H52" i="2"/>
  <c r="S52" i="2"/>
  <c r="S49" i="6"/>
  <c r="S52" i="6"/>
  <c r="O49" i="6"/>
  <c r="O52" i="6"/>
  <c r="O52" i="2"/>
  <c r="M52" i="2"/>
  <c r="M49" i="6"/>
  <c r="M52" i="6" s="1"/>
  <c r="F52" i="2"/>
  <c r="F49" i="6"/>
  <c r="J52" i="2"/>
  <c r="J49" i="6"/>
  <c r="J52" i="6"/>
  <c r="G52" i="2"/>
  <c r="G49" i="6"/>
  <c r="K49" i="6"/>
  <c r="K52" i="6"/>
  <c r="K52" i="2"/>
  <c r="Y49" i="6"/>
  <c r="Y52" i="6" s="1"/>
  <c r="Y52" i="2"/>
  <c r="X49" i="6"/>
  <c r="X52" i="6"/>
  <c r="X52" i="2"/>
  <c r="E14" i="11"/>
  <c r="B39" i="2"/>
  <c r="B80" i="2" s="1"/>
  <c r="B86" i="2" s="1"/>
  <c r="B93" i="6"/>
  <c r="B96" i="6"/>
  <c r="K121" i="6"/>
  <c r="G121" i="6"/>
  <c r="D121" i="6"/>
  <c r="I121" i="6"/>
  <c r="B29" i="6"/>
  <c r="B69" i="6"/>
  <c r="B84" i="6" s="1"/>
  <c r="L121" i="6"/>
  <c r="B70" i="6"/>
  <c r="E121" i="6"/>
  <c r="M121" i="6"/>
  <c r="J121" i="6"/>
  <c r="F121" i="6"/>
  <c r="N121" i="6"/>
  <c r="B100" i="6"/>
  <c r="C121" i="6"/>
  <c r="H121" i="6"/>
  <c r="O121" i="6"/>
  <c r="B69" i="2"/>
  <c r="B84" i="2"/>
  <c r="B30" i="2"/>
  <c r="M79" i="2"/>
  <c r="AC84" i="2"/>
  <c r="AC92" i="2"/>
  <c r="AC95" i="2" s="1"/>
  <c r="B147" i="6"/>
  <c r="B178" i="6"/>
  <c r="B164" i="6"/>
  <c r="B154" i="6"/>
  <c r="B190" i="6"/>
  <c r="B171" i="6"/>
  <c r="B73" i="2"/>
  <c r="B112" i="6"/>
  <c r="B71" i="2"/>
  <c r="B110" i="6"/>
  <c r="M78" i="6"/>
  <c r="B30" i="6"/>
  <c r="Z79" i="6" s="1"/>
  <c r="K32" i="11"/>
  <c r="C33" i="11"/>
  <c r="F32" i="11"/>
  <c r="B32" i="11"/>
  <c r="A32" i="11"/>
  <c r="K32" i="12"/>
  <c r="C33" i="12"/>
  <c r="F32" i="12"/>
  <c r="B32" i="12"/>
  <c r="A32" i="12" s="1"/>
  <c r="E32" i="12" s="1"/>
  <c r="I31" i="11"/>
  <c r="G31" i="11" s="1"/>
  <c r="H31" i="11"/>
  <c r="A31" i="11"/>
  <c r="H31" i="12"/>
  <c r="I31" i="12"/>
  <c r="G31" i="12" s="1"/>
  <c r="I62" i="17"/>
  <c r="J59" i="17"/>
  <c r="AE73" i="2"/>
  <c r="H52" i="6"/>
  <c r="D52" i="6"/>
  <c r="E52" i="6"/>
  <c r="G62" i="6"/>
  <c r="H62" i="2"/>
  <c r="F52" i="6"/>
  <c r="C52" i="6"/>
  <c r="G52" i="6"/>
  <c r="B222" i="6"/>
  <c r="B208" i="6"/>
  <c r="B197" i="6"/>
  <c r="B215" i="6"/>
  <c r="B204" i="6"/>
  <c r="B229" i="6"/>
  <c r="W79" i="6"/>
  <c r="AE79" i="6"/>
  <c r="X79" i="6"/>
  <c r="AF79" i="6"/>
  <c r="S79" i="6"/>
  <c r="C79" i="6"/>
  <c r="O79" i="6"/>
  <c r="I79" i="6"/>
  <c r="D79" i="6"/>
  <c r="E79" i="6"/>
  <c r="B39" i="6"/>
  <c r="B80" i="6" s="1"/>
  <c r="B86" i="6" s="1"/>
  <c r="E14" i="12"/>
  <c r="B74" i="2"/>
  <c r="B113" i="6" s="1"/>
  <c r="B111" i="6"/>
  <c r="B158" i="6"/>
  <c r="O79" i="2"/>
  <c r="H79" i="2"/>
  <c r="D79" i="2"/>
  <c r="T79" i="2"/>
  <c r="N79" i="2"/>
  <c r="I79" i="2"/>
  <c r="AE79" i="2"/>
  <c r="Q79" i="2"/>
  <c r="Y79" i="2"/>
  <c r="S79" i="2"/>
  <c r="AC79" i="2"/>
  <c r="P79" i="2"/>
  <c r="V79" i="2"/>
  <c r="G79" i="2"/>
  <c r="W79" i="2"/>
  <c r="E79" i="2"/>
  <c r="U79" i="2"/>
  <c r="AA79" i="2"/>
  <c r="R79" i="2"/>
  <c r="AF79" i="2"/>
  <c r="X79" i="2"/>
  <c r="AD79" i="2"/>
  <c r="C79" i="2"/>
  <c r="Z79" i="2"/>
  <c r="AB79" i="2"/>
  <c r="F79" i="2"/>
  <c r="J79" i="2"/>
  <c r="K79" i="2"/>
  <c r="L79" i="2"/>
  <c r="B116" i="6"/>
  <c r="B239" i="6"/>
  <c r="B242" i="6" s="1"/>
  <c r="B73" i="6"/>
  <c r="B71" i="6"/>
  <c r="B74" i="6"/>
  <c r="L79" i="6"/>
  <c r="H15" i="11"/>
  <c r="K14" i="11"/>
  <c r="D28" i="11"/>
  <c r="L28" i="11" s="1"/>
  <c r="K79" i="6"/>
  <c r="G79" i="6"/>
  <c r="H79" i="6"/>
  <c r="AC79" i="6"/>
  <c r="M79" i="6"/>
  <c r="J79" i="6"/>
  <c r="T79" i="6"/>
  <c r="R79" i="6"/>
  <c r="V79" i="6"/>
  <c r="AD79" i="6"/>
  <c r="Y79" i="6"/>
  <c r="AA79" i="6"/>
  <c r="F79" i="6"/>
  <c r="N79" i="6"/>
  <c r="Q79" i="6"/>
  <c r="U79" i="6"/>
  <c r="AB79" i="6"/>
  <c r="P79" i="6"/>
  <c r="C34" i="11"/>
  <c r="K33" i="11"/>
  <c r="F33" i="11"/>
  <c r="B33" i="11"/>
  <c r="A33" i="11" s="1"/>
  <c r="C34" i="12"/>
  <c r="K33" i="12"/>
  <c r="F33" i="12"/>
  <c r="B33" i="12"/>
  <c r="I33" i="12" s="1"/>
  <c r="G33" i="12" s="1"/>
  <c r="J62" i="17"/>
  <c r="K59" i="17"/>
  <c r="L59" i="17" s="1"/>
  <c r="H62" i="6"/>
  <c r="I62" i="2"/>
  <c r="AG79" i="2"/>
  <c r="D28" i="12"/>
  <c r="H15" i="12"/>
  <c r="K14" i="12"/>
  <c r="D29" i="11"/>
  <c r="D30" i="11" s="1"/>
  <c r="E31" i="11"/>
  <c r="J31" i="11" s="1"/>
  <c r="H33" i="12"/>
  <c r="C35" i="12"/>
  <c r="K34" i="12"/>
  <c r="F34" i="12"/>
  <c r="B34" i="12"/>
  <c r="H34" i="12" s="1"/>
  <c r="C35" i="11"/>
  <c r="K34" i="11"/>
  <c r="F34" i="11"/>
  <c r="B34" i="11"/>
  <c r="K62" i="17"/>
  <c r="I62" i="6"/>
  <c r="J62" i="2"/>
  <c r="J62" i="6" s="1"/>
  <c r="E29" i="11"/>
  <c r="H29" i="11"/>
  <c r="D29" i="12"/>
  <c r="L28" i="12"/>
  <c r="K35" i="11"/>
  <c r="C36" i="11"/>
  <c r="K36" i="11" s="1"/>
  <c r="F35" i="11"/>
  <c r="B35" i="11"/>
  <c r="A35" i="11" s="1"/>
  <c r="E35" i="11" s="1"/>
  <c r="J35" i="11" s="1"/>
  <c r="H34" i="11"/>
  <c r="I34" i="11"/>
  <c r="G34" i="11" s="1"/>
  <c r="K35" i="12"/>
  <c r="C36" i="12"/>
  <c r="F35" i="12"/>
  <c r="B35" i="12"/>
  <c r="A35" i="12"/>
  <c r="K62" i="2"/>
  <c r="L62" i="2" s="1"/>
  <c r="I29" i="11"/>
  <c r="G29" i="11"/>
  <c r="K36" i="12"/>
  <c r="C37" i="12"/>
  <c r="F36" i="12"/>
  <c r="B36" i="12"/>
  <c r="C37" i="11"/>
  <c r="C38" i="11" s="1"/>
  <c r="F36" i="11"/>
  <c r="K62" i="6"/>
  <c r="J29" i="11"/>
  <c r="K37" i="11"/>
  <c r="B37" i="11"/>
  <c r="I37" i="11" s="1"/>
  <c r="G37" i="11" s="1"/>
  <c r="A36" i="12"/>
  <c r="E36" i="12"/>
  <c r="H36" i="12"/>
  <c r="I36" i="12"/>
  <c r="G36" i="12" s="1"/>
  <c r="J36" i="12" s="1"/>
  <c r="K37" i="12"/>
  <c r="C38" i="12"/>
  <c r="F37" i="12"/>
  <c r="B37" i="12"/>
  <c r="H32" i="11"/>
  <c r="E32" i="11"/>
  <c r="I37" i="12"/>
  <c r="G37" i="12" s="1"/>
  <c r="H37" i="12"/>
  <c r="C39" i="12"/>
  <c r="K39" i="12" s="1"/>
  <c r="K38" i="12"/>
  <c r="F38" i="12"/>
  <c r="B38" i="12"/>
  <c r="A38" i="12"/>
  <c r="I32" i="11"/>
  <c r="G32" i="11"/>
  <c r="C40" i="12"/>
  <c r="K40" i="12" s="1"/>
  <c r="F39" i="12"/>
  <c r="H32" i="12"/>
  <c r="J32" i="11"/>
  <c r="C41" i="12"/>
  <c r="K41" i="12" s="1"/>
  <c r="F40" i="12"/>
  <c r="I32" i="12"/>
  <c r="G32" i="12" s="1"/>
  <c r="I35" i="11"/>
  <c r="G35" i="11" s="1"/>
  <c r="C42" i="12"/>
  <c r="C43" i="12" s="1"/>
  <c r="F41" i="12"/>
  <c r="K42" i="12"/>
  <c r="F42" i="12"/>
  <c r="E35" i="12"/>
  <c r="H35" i="12"/>
  <c r="I35" i="12"/>
  <c r="G35" i="12" s="1"/>
  <c r="J35" i="12" s="1"/>
  <c r="E38" i="12"/>
  <c r="I38" i="12"/>
  <c r="G38" i="12"/>
  <c r="H38" i="12"/>
  <c r="C44" i="12" l="1"/>
  <c r="F43" i="12"/>
  <c r="B43" i="12"/>
  <c r="M62" i="2"/>
  <c r="L62" i="6"/>
  <c r="L62" i="17"/>
  <c r="M59" i="17"/>
  <c r="E33" i="11"/>
  <c r="AB69" i="6"/>
  <c r="AB100" i="6"/>
  <c r="AC69" i="6"/>
  <c r="AC100" i="6"/>
  <c r="K43" i="12"/>
  <c r="J38" i="12"/>
  <c r="C39" i="11"/>
  <c r="B38" i="11"/>
  <c r="K38" i="11"/>
  <c r="F38" i="11"/>
  <c r="A34" i="11"/>
  <c r="D31" i="11"/>
  <c r="L30" i="11" s="1"/>
  <c r="J32" i="12"/>
  <c r="AD81" i="6"/>
  <c r="AD83" i="6" s="1"/>
  <c r="AD73" i="6"/>
  <c r="AD70" i="6"/>
  <c r="AF81" i="6"/>
  <c r="AF83" i="6" s="1"/>
  <c r="AF73" i="6"/>
  <c r="AF70" i="6"/>
  <c r="AE81" i="6"/>
  <c r="AE83" i="6" s="1"/>
  <c r="AE70" i="6"/>
  <c r="AE73" i="6"/>
  <c r="B42" i="12"/>
  <c r="B41" i="12"/>
  <c r="B40" i="12"/>
  <c r="H35" i="11"/>
  <c r="B39" i="12"/>
  <c r="H37" i="11"/>
  <c r="F37" i="11"/>
  <c r="L29" i="11"/>
  <c r="B36" i="11"/>
  <c r="I34" i="12"/>
  <c r="G34" i="12" s="1"/>
  <c r="H33" i="11"/>
  <c r="I33" i="11"/>
  <c r="G33" i="11" s="1"/>
  <c r="A33" i="12"/>
  <c r="E33" i="12" s="1"/>
  <c r="J33" i="12" s="1"/>
  <c r="AE81" i="2"/>
  <c r="AE83" i="2" s="1"/>
  <c r="O66" i="2"/>
  <c r="O82" i="2" s="1"/>
  <c r="X66" i="2"/>
  <c r="X82" i="2" s="1"/>
  <c r="L66" i="2"/>
  <c r="L82" i="2" s="1"/>
  <c r="Z66" i="2"/>
  <c r="Z82" i="2" s="1"/>
  <c r="I66" i="2"/>
  <c r="I82" i="2" s="1"/>
  <c r="T66" i="2"/>
  <c r="T82" i="2" s="1"/>
  <c r="S66" i="2"/>
  <c r="S82" i="2" s="1"/>
  <c r="J66" i="2"/>
  <c r="J82" i="2" s="1"/>
  <c r="P66" i="2"/>
  <c r="P82" i="2" s="1"/>
  <c r="Q66" i="2"/>
  <c r="Q82" i="2" s="1"/>
  <c r="N66" i="2"/>
  <c r="N82" i="2" s="1"/>
  <c r="M66" i="2"/>
  <c r="M82" i="2" s="1"/>
  <c r="U66" i="2"/>
  <c r="U82" i="2" s="1"/>
  <c r="W66" i="2"/>
  <c r="W82" i="2" s="1"/>
  <c r="AA66" i="2"/>
  <c r="AA82" i="2" s="1"/>
  <c r="Y66" i="2"/>
  <c r="Y82" i="2" s="1"/>
  <c r="F66" i="2"/>
  <c r="F82" i="2" s="1"/>
  <c r="K66" i="2"/>
  <c r="K82" i="2" s="1"/>
  <c r="H66" i="2"/>
  <c r="H82" i="2" s="1"/>
  <c r="V66" i="2"/>
  <c r="V82" i="2" s="1"/>
  <c r="D66" i="2"/>
  <c r="D82" i="2" s="1"/>
  <c r="R66" i="2"/>
  <c r="R82" i="2" s="1"/>
  <c r="C66" i="2"/>
  <c r="C82" i="2" s="1"/>
  <c r="G66" i="2"/>
  <c r="G82" i="2" s="1"/>
  <c r="E66" i="2"/>
  <c r="E82" i="2" s="1"/>
  <c r="AD100" i="2"/>
  <c r="AF68" i="2"/>
  <c r="AF100" i="2" s="1"/>
  <c r="AF69" i="2"/>
  <c r="AB81" i="2"/>
  <c r="AB83" i="2" s="1"/>
  <c r="AB73" i="2"/>
  <c r="AD81" i="2"/>
  <c r="AD83" i="2" s="1"/>
  <c r="AD73" i="2"/>
  <c r="AD70" i="2"/>
  <c r="E61" i="2"/>
  <c r="D61" i="6"/>
  <c r="D65" i="6" s="1"/>
  <c r="B30" i="12"/>
  <c r="B29" i="12"/>
  <c r="D65" i="2"/>
  <c r="F29" i="12"/>
  <c r="F30" i="12"/>
  <c r="J25" i="20"/>
  <c r="N3" i="11"/>
  <c r="K42" i="2"/>
  <c r="G36" i="23"/>
  <c r="G28" i="23"/>
  <c r="D30" i="23"/>
  <c r="D34" i="23" s="1"/>
  <c r="D31" i="23"/>
  <c r="G25" i="20"/>
  <c r="G26" i="20" s="1"/>
  <c r="K3" i="11"/>
  <c r="G3" i="12"/>
  <c r="C237" i="6"/>
  <c r="D42" i="6"/>
  <c r="D45" i="24"/>
  <c r="C46" i="24"/>
  <c r="K44" i="24"/>
  <c r="M3" i="11"/>
  <c r="G37" i="23"/>
  <c r="G38" i="23"/>
  <c r="H26" i="23"/>
  <c r="H25" i="20"/>
  <c r="H26" i="20" s="1"/>
  <c r="E31" i="23"/>
  <c r="E34" i="23" s="1"/>
  <c r="F40" i="23"/>
  <c r="F36" i="23"/>
  <c r="E38" i="23"/>
  <c r="E36" i="23"/>
  <c r="S52" i="17"/>
  <c r="S55" i="17" s="1"/>
  <c r="AC52" i="17"/>
  <c r="AC55" i="17" s="1"/>
  <c r="G52" i="17"/>
  <c r="G55" i="17" s="1"/>
  <c r="J52" i="17"/>
  <c r="J55" i="17" s="1"/>
  <c r="M52" i="17"/>
  <c r="M55" i="17" s="1"/>
  <c r="N52" i="17"/>
  <c r="N55" i="17" s="1"/>
  <c r="T52" i="17"/>
  <c r="T55" i="17" s="1"/>
  <c r="P52" i="17"/>
  <c r="P55" i="17" s="1"/>
  <c r="Z52" i="17"/>
  <c r="Z55" i="17" s="1"/>
  <c r="K52" i="17"/>
  <c r="K55" i="17" s="1"/>
  <c r="Q52" i="17"/>
  <c r="Q55" i="17" s="1"/>
  <c r="X52" i="17"/>
  <c r="X55" i="17" s="1"/>
  <c r="U52" i="17"/>
  <c r="U55" i="17" s="1"/>
  <c r="H52" i="17"/>
  <c r="H55" i="17" s="1"/>
  <c r="L52" i="17"/>
  <c r="L55" i="17" s="1"/>
  <c r="F52" i="17"/>
  <c r="F55" i="17" s="1"/>
  <c r="D52" i="17"/>
  <c r="D55" i="17" s="1"/>
  <c r="AF52" i="17"/>
  <c r="AF55" i="17" s="1"/>
  <c r="W52" i="17"/>
  <c r="W55" i="17" s="1"/>
  <c r="E52" i="17"/>
  <c r="E55" i="17" s="1"/>
  <c r="C52" i="17"/>
  <c r="C55" i="17" s="1"/>
  <c r="AB52" i="17"/>
  <c r="AB55" i="17" s="1"/>
  <c r="AE52" i="17"/>
  <c r="AE55" i="17" s="1"/>
  <c r="R52" i="17"/>
  <c r="R55" i="17" s="1"/>
  <c r="AA52" i="17"/>
  <c r="AA55" i="17" s="1"/>
  <c r="V52" i="17"/>
  <c r="V55" i="17" s="1"/>
  <c r="AD52" i="17"/>
  <c r="AD55" i="17" s="1"/>
  <c r="Y52" i="17"/>
  <c r="Y55" i="17" s="1"/>
  <c r="I52" i="17"/>
  <c r="I55" i="17" s="1"/>
  <c r="O52" i="17"/>
  <c r="O55" i="17" s="1"/>
  <c r="D35" i="20"/>
  <c r="D46" i="2" s="1"/>
  <c r="D46" i="6" s="1"/>
  <c r="D37" i="20"/>
  <c r="AA50" i="24"/>
  <c r="Y50" i="24"/>
  <c r="C50" i="24"/>
  <c r="S50" i="24"/>
  <c r="E23" i="7"/>
  <c r="I50" i="24"/>
  <c r="H50" i="24"/>
  <c r="C34" i="20"/>
  <c r="C37" i="23"/>
  <c r="U45" i="6"/>
  <c r="X45" i="6"/>
  <c r="V45" i="6"/>
  <c r="AD50" i="24"/>
  <c r="AA87" i="6"/>
  <c r="C489" i="16"/>
  <c r="A489" i="16" s="1"/>
  <c r="B4" i="24" s="1"/>
  <c r="A450" i="16"/>
  <c r="B4" i="23" s="1"/>
  <c r="C36" i="23" l="1"/>
  <c r="C57" i="17"/>
  <c r="D57" i="17" s="1"/>
  <c r="E57" i="17" s="1"/>
  <c r="F57" i="17" s="1"/>
  <c r="G57" i="17" s="1"/>
  <c r="H57" i="17" s="1"/>
  <c r="I57" i="17" s="1"/>
  <c r="J57" i="17" s="1"/>
  <c r="K57" i="17" s="1"/>
  <c r="L57" i="17" s="1"/>
  <c r="M57" i="17" s="1"/>
  <c r="N57" i="17" s="1"/>
  <c r="O57" i="17" s="1"/>
  <c r="P57" i="17" s="1"/>
  <c r="Q57" i="17" s="1"/>
  <c r="R57" i="17" s="1"/>
  <c r="S57" i="17" s="1"/>
  <c r="T57" i="17" s="1"/>
  <c r="U57" i="17" s="1"/>
  <c r="V57" i="17" s="1"/>
  <c r="W57" i="17" s="1"/>
  <c r="X57" i="17" s="1"/>
  <c r="Y57" i="17" s="1"/>
  <c r="Z57" i="17" s="1"/>
  <c r="AA57" i="17" s="1"/>
  <c r="AB57" i="17" s="1"/>
  <c r="AC57" i="17" s="1"/>
  <c r="AD57" i="17" s="1"/>
  <c r="AE57" i="17" s="1"/>
  <c r="AF57" i="17" s="1"/>
  <c r="C48" i="24"/>
  <c r="D48" i="24" s="1"/>
  <c r="E48" i="24" s="1"/>
  <c r="F48" i="24" s="1"/>
  <c r="G48" i="24" s="1"/>
  <c r="H48" i="24" s="1"/>
  <c r="I48" i="24" s="1"/>
  <c r="J48" i="24" s="1"/>
  <c r="K48" i="24" s="1"/>
  <c r="L48" i="24" s="1"/>
  <c r="M48" i="24" s="1"/>
  <c r="N48" i="24" s="1"/>
  <c r="O48" i="24" s="1"/>
  <c r="P48" i="24" s="1"/>
  <c r="Q48" i="24" s="1"/>
  <c r="R48" i="24" s="1"/>
  <c r="S48" i="24" s="1"/>
  <c r="T48" i="24" s="1"/>
  <c r="U48" i="24" s="1"/>
  <c r="V48" i="24" s="1"/>
  <c r="W48" i="24" s="1"/>
  <c r="X48" i="24" s="1"/>
  <c r="Y48" i="24" s="1"/>
  <c r="Z48" i="24" s="1"/>
  <c r="AA48" i="24" s="1"/>
  <c r="AB48" i="24" s="1"/>
  <c r="AC48" i="24" s="1"/>
  <c r="AD48" i="24" s="1"/>
  <c r="AE48" i="24" s="1"/>
  <c r="AF48" i="24" s="1"/>
  <c r="C33" i="20"/>
  <c r="E37" i="7"/>
  <c r="E37" i="20"/>
  <c r="D48" i="2"/>
  <c r="H27" i="23"/>
  <c r="I26" i="23"/>
  <c r="L44" i="24"/>
  <c r="E45" i="24"/>
  <c r="D46" i="24"/>
  <c r="D237" i="6"/>
  <c r="D240" i="6" s="1"/>
  <c r="D243" i="6" s="1"/>
  <c r="H3" i="12"/>
  <c r="E42" i="6"/>
  <c r="O3" i="11"/>
  <c r="L42" i="2"/>
  <c r="K25" i="20"/>
  <c r="A29" i="12"/>
  <c r="I29" i="12"/>
  <c r="G29" i="12" s="1"/>
  <c r="D30" i="12" s="1"/>
  <c r="H29" i="12"/>
  <c r="AD84" i="2"/>
  <c r="AD92" i="2"/>
  <c r="AD95" i="2" s="1"/>
  <c r="AB92" i="2"/>
  <c r="AB95" i="2" s="1"/>
  <c r="AB84" i="2"/>
  <c r="I36" i="11"/>
  <c r="G36" i="11" s="1"/>
  <c r="A36" i="11"/>
  <c r="E36" i="11" s="1"/>
  <c r="H36" i="11"/>
  <c r="A39" i="12"/>
  <c r="E39" i="12" s="1"/>
  <c r="J39" i="12" s="1"/>
  <c r="I39" i="12"/>
  <c r="G39" i="12" s="1"/>
  <c r="H39" i="12"/>
  <c r="H40" i="12"/>
  <c r="I40" i="12"/>
  <c r="G40" i="12" s="1"/>
  <c r="H42" i="12"/>
  <c r="A42" i="12"/>
  <c r="E42" i="12" s="1"/>
  <c r="J42" i="12" s="1"/>
  <c r="I42" i="12"/>
  <c r="G42" i="12" s="1"/>
  <c r="AF84" i="6"/>
  <c r="AF92" i="6"/>
  <c r="AF95" i="6" s="1"/>
  <c r="K39" i="11"/>
  <c r="F39" i="11"/>
  <c r="C40" i="11"/>
  <c r="B39" i="11"/>
  <c r="AC70" i="6"/>
  <c r="AC81" i="6"/>
  <c r="AC83" i="6" s="1"/>
  <c r="AC73" i="6"/>
  <c r="AB73" i="6"/>
  <c r="AB70" i="6"/>
  <c r="AB81" i="6"/>
  <c r="AB83" i="6" s="1"/>
  <c r="J33" i="11"/>
  <c r="N62" i="2"/>
  <c r="M62" i="6"/>
  <c r="B18" i="18"/>
  <c r="B44" i="2" s="1"/>
  <c r="B44" i="6" s="1"/>
  <c r="C44" i="6" s="1"/>
  <c r="D44" i="6" s="1"/>
  <c r="E44" i="6" s="1"/>
  <c r="F44" i="6" s="1"/>
  <c r="G44" i="6" s="1"/>
  <c r="H44" i="6" s="1"/>
  <c r="I44" i="6" s="1"/>
  <c r="J44" i="6" s="1"/>
  <c r="K44" i="6" s="1"/>
  <c r="L44" i="6" s="1"/>
  <c r="M44" i="6" s="1"/>
  <c r="N44" i="6" s="1"/>
  <c r="O44" i="6" s="1"/>
  <c r="P44" i="6" s="1"/>
  <c r="Q44" i="6" s="1"/>
  <c r="R44" i="6" s="1"/>
  <c r="S44" i="6" s="1"/>
  <c r="T44" i="6" s="1"/>
  <c r="U44" i="6" s="1"/>
  <c r="V44" i="6" s="1"/>
  <c r="W44" i="6" s="1"/>
  <c r="X44" i="6" s="1"/>
  <c r="Y44" i="6" s="1"/>
  <c r="Z44" i="6" s="1"/>
  <c r="AA44" i="6" s="1"/>
  <c r="C44" i="2"/>
  <c r="D34" i="20"/>
  <c r="E35" i="20"/>
  <c r="B237" i="6"/>
  <c r="B240" i="6" s="1"/>
  <c r="B243" i="6" s="1"/>
  <c r="C240" i="6"/>
  <c r="C243" i="6" s="1"/>
  <c r="G27" i="20"/>
  <c r="G31" i="23"/>
  <c r="G30" i="23"/>
  <c r="G34" i="23" s="1"/>
  <c r="I26" i="20"/>
  <c r="I30" i="12"/>
  <c r="G30" i="12" s="1"/>
  <c r="A30" i="12"/>
  <c r="E30" i="12" s="1"/>
  <c r="H30" i="12"/>
  <c r="F61" i="2"/>
  <c r="E65" i="2"/>
  <c r="E61" i="6"/>
  <c r="E65" i="6" s="1"/>
  <c r="AF81" i="2"/>
  <c r="AF83" i="2" s="1"/>
  <c r="AF73" i="2"/>
  <c r="AF70" i="2"/>
  <c r="AE92" i="2"/>
  <c r="AE95" i="2" s="1"/>
  <c r="AE84" i="2"/>
  <c r="A41" i="12"/>
  <c r="E41" i="12" s="1"/>
  <c r="I41" i="12"/>
  <c r="G41" i="12" s="1"/>
  <c r="H41" i="12"/>
  <c r="AE84" i="6"/>
  <c r="AE92" i="6"/>
  <c r="AE95" i="6" s="1"/>
  <c r="AD92" i="6"/>
  <c r="AD95" i="6" s="1"/>
  <c r="AD84" i="6"/>
  <c r="D32" i="11"/>
  <c r="L31" i="11" s="1"/>
  <c r="A38" i="11"/>
  <c r="E38" i="11" s="1"/>
  <c r="H38" i="11"/>
  <c r="I38" i="11"/>
  <c r="G38" i="11" s="1"/>
  <c r="A37" i="11"/>
  <c r="M62" i="17"/>
  <c r="N59" i="17"/>
  <c r="I43" i="12"/>
  <c r="G43" i="12" s="1"/>
  <c r="H43" i="12"/>
  <c r="K44" i="12"/>
  <c r="B44" i="12"/>
  <c r="F44" i="12"/>
  <c r="C45" i="12"/>
  <c r="I44" i="12" l="1"/>
  <c r="G44" i="12" s="1"/>
  <c r="A44" i="12"/>
  <c r="E44" i="12" s="1"/>
  <c r="J44" i="12" s="1"/>
  <c r="H44" i="12"/>
  <c r="O59" i="17"/>
  <c r="N62" i="17"/>
  <c r="J41" i="12"/>
  <c r="F61" i="6"/>
  <c r="F65" i="6" s="1"/>
  <c r="G61" i="2"/>
  <c r="F65" i="2"/>
  <c r="J30" i="12"/>
  <c r="E46" i="2"/>
  <c r="E46" i="6" s="1"/>
  <c r="F35" i="20"/>
  <c r="I39" i="11"/>
  <c r="G39" i="11" s="1"/>
  <c r="A39" i="11"/>
  <c r="E39" i="11" s="1"/>
  <c r="J39" i="11" s="1"/>
  <c r="H39" i="11"/>
  <c r="J36" i="11"/>
  <c r="L29" i="12"/>
  <c r="D31" i="12"/>
  <c r="J26" i="20"/>
  <c r="L25" i="20"/>
  <c r="M42" i="2"/>
  <c r="P3" i="11"/>
  <c r="F42" i="6"/>
  <c r="I3" i="12"/>
  <c r="E237" i="6"/>
  <c r="E240" i="6" s="1"/>
  <c r="E243" i="6" s="1"/>
  <c r="F45" i="24"/>
  <c r="E46" i="24"/>
  <c r="H36" i="23"/>
  <c r="H38" i="23"/>
  <c r="H40" i="23"/>
  <c r="H37" i="23"/>
  <c r="H28" i="23"/>
  <c r="E48" i="2"/>
  <c r="F37" i="20"/>
  <c r="B17" i="18"/>
  <c r="C43" i="2"/>
  <c r="C50" i="2" s="1"/>
  <c r="D33" i="20"/>
  <c r="K45" i="12"/>
  <c r="F45" i="12"/>
  <c r="B45" i="12"/>
  <c r="C46" i="12"/>
  <c r="J38" i="11"/>
  <c r="D33" i="11"/>
  <c r="AF84" i="2"/>
  <c r="AF92" i="2"/>
  <c r="AF95" i="2" s="1"/>
  <c r="G29" i="20"/>
  <c r="G31" i="20" s="1"/>
  <c r="G60" i="2" s="1"/>
  <c r="G30" i="20"/>
  <c r="H27" i="20"/>
  <c r="E34" i="20"/>
  <c r="D44" i="2"/>
  <c r="O62" i="2"/>
  <c r="N62" i="6"/>
  <c r="AB92" i="6"/>
  <c r="AB95" i="6" s="1"/>
  <c r="AB84" i="6"/>
  <c r="AC92" i="6"/>
  <c r="AC95" i="6" s="1"/>
  <c r="AC84" i="6"/>
  <c r="K40" i="11"/>
  <c r="B40" i="11"/>
  <c r="C41" i="11"/>
  <c r="F40" i="11"/>
  <c r="A31" i="12"/>
  <c r="E29" i="12"/>
  <c r="K26" i="20"/>
  <c r="M44" i="24"/>
  <c r="I27" i="23"/>
  <c r="J26" i="23"/>
  <c r="I28" i="23" l="1"/>
  <c r="I40" i="23"/>
  <c r="I36" i="23"/>
  <c r="I37" i="23"/>
  <c r="I38" i="23"/>
  <c r="J29" i="12"/>
  <c r="E31" i="12"/>
  <c r="J31" i="12" s="1"/>
  <c r="H40" i="11"/>
  <c r="I40" i="11"/>
  <c r="G40" i="11" s="1"/>
  <c r="A40" i="11"/>
  <c r="H29" i="20"/>
  <c r="H30" i="20"/>
  <c r="G60" i="6"/>
  <c r="G65" i="2"/>
  <c r="D34" i="11"/>
  <c r="L33" i="11" s="1"/>
  <c r="I45" i="12"/>
  <c r="G45" i="12" s="1"/>
  <c r="A45" i="12"/>
  <c r="E45" i="12" s="1"/>
  <c r="H45" i="12"/>
  <c r="C51" i="2"/>
  <c r="F48" i="2"/>
  <c r="G37" i="20"/>
  <c r="H31" i="23"/>
  <c r="H30" i="23"/>
  <c r="H34" i="23" s="1"/>
  <c r="G45" i="24"/>
  <c r="F46" i="24"/>
  <c r="L26" i="20"/>
  <c r="D32" i="12"/>
  <c r="G61" i="6"/>
  <c r="H61" i="2"/>
  <c r="P59" i="17"/>
  <c r="O62" i="17"/>
  <c r="N44" i="24"/>
  <c r="J27" i="23"/>
  <c r="K26" i="23"/>
  <c r="A34" i="12"/>
  <c r="K41" i="11"/>
  <c r="B41" i="11"/>
  <c r="C42" i="11"/>
  <c r="F41" i="11"/>
  <c r="O62" i="6"/>
  <c r="P62" i="2"/>
  <c r="E44" i="2"/>
  <c r="F34" i="20"/>
  <c r="L32" i="11"/>
  <c r="C47" i="12"/>
  <c r="B46" i="12"/>
  <c r="K46" i="12"/>
  <c r="F46" i="12"/>
  <c r="E33" i="20"/>
  <c r="D43" i="2"/>
  <c r="D50" i="2" s="1"/>
  <c r="B43" i="2"/>
  <c r="C16" i="25"/>
  <c r="F237" i="6"/>
  <c r="F240" i="6" s="1"/>
  <c r="F243" i="6" s="1"/>
  <c r="G42" i="6"/>
  <c r="J3" i="12"/>
  <c r="N42" i="2"/>
  <c r="M25" i="20"/>
  <c r="M26" i="20" s="1"/>
  <c r="Q3" i="11"/>
  <c r="L30" i="12"/>
  <c r="F46" i="2"/>
  <c r="F46" i="6" s="1"/>
  <c r="G35" i="20"/>
  <c r="I27" i="20"/>
  <c r="J27" i="20" s="1"/>
  <c r="J30" i="20" l="1"/>
  <c r="J29" i="20"/>
  <c r="J31" i="20" s="1"/>
  <c r="J60" i="2" s="1"/>
  <c r="K27" i="20"/>
  <c r="G46" i="2"/>
  <c r="G46" i="6" s="1"/>
  <c r="H35" i="20"/>
  <c r="G237" i="6"/>
  <c r="G240" i="6" s="1"/>
  <c r="G243" i="6" s="1"/>
  <c r="K3" i="12"/>
  <c r="H42" i="6"/>
  <c r="D51" i="2"/>
  <c r="H46" i="12"/>
  <c r="I46" i="12"/>
  <c r="G46" i="12" s="1"/>
  <c r="C43" i="11"/>
  <c r="F42" i="11"/>
  <c r="K42" i="11"/>
  <c r="B42" i="11"/>
  <c r="K27" i="23"/>
  <c r="L26" i="23"/>
  <c r="O44" i="24"/>
  <c r="H61" i="6"/>
  <c r="I61" i="2"/>
  <c r="D33" i="12"/>
  <c r="L32" i="12"/>
  <c r="H45" i="24"/>
  <c r="G46" i="24"/>
  <c r="J45" i="12"/>
  <c r="G65" i="6"/>
  <c r="H31" i="20"/>
  <c r="H60" i="2" s="1"/>
  <c r="I31" i="23"/>
  <c r="I30" i="23"/>
  <c r="I34" i="23" s="1"/>
  <c r="I30" i="20"/>
  <c r="I29" i="20"/>
  <c r="I31" i="20" s="1"/>
  <c r="I60" i="2" s="1"/>
  <c r="O42" i="2"/>
  <c r="N25" i="20"/>
  <c r="N26" i="20" s="1"/>
  <c r="R3" i="11"/>
  <c r="B43" i="6"/>
  <c r="E16" i="14"/>
  <c r="E43" i="2"/>
  <c r="E50" i="2" s="1"/>
  <c r="F33" i="20"/>
  <c r="C48" i="12"/>
  <c r="F47" i="12"/>
  <c r="B47" i="12"/>
  <c r="K47" i="12"/>
  <c r="F44" i="2"/>
  <c r="G34" i="20"/>
  <c r="P62" i="6"/>
  <c r="Q62" i="2"/>
  <c r="A41" i="11"/>
  <c r="E41" i="11" s="1"/>
  <c r="J41" i="11" s="1"/>
  <c r="I41" i="11"/>
  <c r="G41" i="11" s="1"/>
  <c r="H41" i="11"/>
  <c r="A37" i="12"/>
  <c r="J40" i="23"/>
  <c r="J38" i="23"/>
  <c r="J37" i="23"/>
  <c r="J28" i="23"/>
  <c r="J36" i="23"/>
  <c r="P62" i="17"/>
  <c r="Q59" i="17"/>
  <c r="L31" i="12"/>
  <c r="L27" i="20"/>
  <c r="M27" i="20" s="1"/>
  <c r="G48" i="2"/>
  <c r="H37" i="20"/>
  <c r="D35" i="11"/>
  <c r="L34" i="11"/>
  <c r="E34" i="11"/>
  <c r="M30" i="20" l="1"/>
  <c r="M29" i="20"/>
  <c r="M31" i="20" s="1"/>
  <c r="M60" i="2" s="1"/>
  <c r="J34" i="11"/>
  <c r="D36" i="11"/>
  <c r="L35" i="11"/>
  <c r="H48" i="2"/>
  <c r="I37" i="20"/>
  <c r="J30" i="23"/>
  <c r="J31" i="23"/>
  <c r="A40" i="12"/>
  <c r="A47" i="12"/>
  <c r="E47" i="12" s="1"/>
  <c r="H47" i="12"/>
  <c r="I47" i="12"/>
  <c r="G47" i="12" s="1"/>
  <c r="C49" i="12"/>
  <c r="B48" i="12"/>
  <c r="K48" i="12"/>
  <c r="F48" i="12"/>
  <c r="F43" i="2"/>
  <c r="F50" i="2" s="1"/>
  <c r="G33" i="20"/>
  <c r="N27" i="20"/>
  <c r="H60" i="6"/>
  <c r="H65" i="2"/>
  <c r="I45" i="24"/>
  <c r="H46" i="24"/>
  <c r="I61" i="6"/>
  <c r="J61" i="2"/>
  <c r="L27" i="23"/>
  <c r="M26" i="23"/>
  <c r="A42" i="11"/>
  <c r="E42" i="11" s="1"/>
  <c r="H42" i="11"/>
  <c r="I42" i="11"/>
  <c r="G42" i="11" s="1"/>
  <c r="K30" i="20"/>
  <c r="K29" i="20"/>
  <c r="L30" i="20"/>
  <c r="L29" i="20"/>
  <c r="Q62" i="17"/>
  <c r="R59" i="17"/>
  <c r="Q62" i="6"/>
  <c r="R62" i="2"/>
  <c r="G44" i="2"/>
  <c r="H34" i="20"/>
  <c r="E51" i="2"/>
  <c r="F16" i="14"/>
  <c r="D17" i="18"/>
  <c r="C43" i="6"/>
  <c r="O25" i="20"/>
  <c r="O26" i="20" s="1"/>
  <c r="P42" i="2"/>
  <c r="S3" i="11"/>
  <c r="I60" i="6"/>
  <c r="I65" i="2"/>
  <c r="A43" i="12"/>
  <c r="D34" i="12"/>
  <c r="L33" i="12"/>
  <c r="P44" i="24"/>
  <c r="K28" i="23"/>
  <c r="K37" i="23"/>
  <c r="K38" i="23"/>
  <c r="K36" i="23"/>
  <c r="K40" i="23"/>
  <c r="C44" i="11"/>
  <c r="F43" i="11"/>
  <c r="B43" i="11"/>
  <c r="K43" i="11"/>
  <c r="H237" i="6"/>
  <c r="H240" i="6" s="1"/>
  <c r="H243" i="6" s="1"/>
  <c r="I42" i="6"/>
  <c r="L3" i="12"/>
  <c r="H46" i="2"/>
  <c r="H46" i="6" s="1"/>
  <c r="I35" i="20"/>
  <c r="J60" i="6"/>
  <c r="J65" i="2"/>
  <c r="M3" i="12" l="1"/>
  <c r="J42" i="6"/>
  <c r="I237" i="6"/>
  <c r="I240" i="6" s="1"/>
  <c r="I243" i="6" s="1"/>
  <c r="I46" i="2"/>
  <c r="I46" i="6" s="1"/>
  <c r="J35" i="20"/>
  <c r="A43" i="11"/>
  <c r="I43" i="11"/>
  <c r="G43" i="11" s="1"/>
  <c r="H43" i="11"/>
  <c r="C45" i="11"/>
  <c r="F44" i="11"/>
  <c r="B44" i="11"/>
  <c r="K44" i="11"/>
  <c r="Q44" i="24"/>
  <c r="D35" i="12"/>
  <c r="L34" i="12" s="1"/>
  <c r="E34" i="12"/>
  <c r="O27" i="20"/>
  <c r="H44" i="2"/>
  <c r="I34" i="20"/>
  <c r="R62" i="6"/>
  <c r="S62" i="2"/>
  <c r="S59" i="17"/>
  <c r="R62" i="17"/>
  <c r="L31" i="20"/>
  <c r="L60" i="2" s="1"/>
  <c r="K31" i="20"/>
  <c r="K60" i="2" s="1"/>
  <c r="A46" i="12"/>
  <c r="L28" i="23"/>
  <c r="L36" i="23"/>
  <c r="L40" i="23"/>
  <c r="L37" i="23"/>
  <c r="L38" i="23"/>
  <c r="J45" i="24"/>
  <c r="I46" i="24"/>
  <c r="H65" i="6"/>
  <c r="G43" i="2"/>
  <c r="G50" i="2" s="1"/>
  <c r="H33" i="20"/>
  <c r="K49" i="12"/>
  <c r="B49" i="12"/>
  <c r="F49" i="12"/>
  <c r="C50" i="12"/>
  <c r="J34" i="23"/>
  <c r="D37" i="11"/>
  <c r="L36" i="11" s="1"/>
  <c r="K31" i="23"/>
  <c r="K30" i="23"/>
  <c r="K34" i="23" s="1"/>
  <c r="I65" i="6"/>
  <c r="Q42" i="2"/>
  <c r="P25" i="20"/>
  <c r="P26" i="20" s="1"/>
  <c r="T3" i="11"/>
  <c r="D43" i="6"/>
  <c r="C50" i="6"/>
  <c r="J42" i="11"/>
  <c r="M27" i="23"/>
  <c r="N26" i="23"/>
  <c r="K61" i="2"/>
  <c r="J61" i="6"/>
  <c r="J65" i="6" s="1"/>
  <c r="N29" i="20"/>
  <c r="N30" i="20"/>
  <c r="F51" i="2"/>
  <c r="I48" i="12"/>
  <c r="G48" i="12" s="1"/>
  <c r="H48" i="12"/>
  <c r="A48" i="12"/>
  <c r="E48" i="12" s="1"/>
  <c r="J48" i="12" s="1"/>
  <c r="J47" i="12"/>
  <c r="I48" i="2"/>
  <c r="J37" i="20"/>
  <c r="M60" i="6"/>
  <c r="N31" i="20" l="1"/>
  <c r="N60" i="2" s="1"/>
  <c r="N27" i="23"/>
  <c r="O26" i="23"/>
  <c r="C51" i="6"/>
  <c r="R42" i="2"/>
  <c r="U3" i="11"/>
  <c r="Q25" i="20"/>
  <c r="Q26" i="20" s="1"/>
  <c r="G51" i="2"/>
  <c r="K45" i="24"/>
  <c r="J46" i="24"/>
  <c r="L60" i="6"/>
  <c r="S62" i="17"/>
  <c r="T59" i="17"/>
  <c r="J46" i="2"/>
  <c r="J46" i="6" s="1"/>
  <c r="K35" i="20"/>
  <c r="N3" i="12"/>
  <c r="K42" i="6"/>
  <c r="J237" i="6"/>
  <c r="J240" i="6" s="1"/>
  <c r="J243" i="6" s="1"/>
  <c r="J48" i="2"/>
  <c r="K37" i="20"/>
  <c r="K61" i="6"/>
  <c r="L61" i="2"/>
  <c r="M36" i="23"/>
  <c r="M37" i="23"/>
  <c r="M40" i="23"/>
  <c r="M38" i="23"/>
  <c r="M28" i="23"/>
  <c r="E43" i="6"/>
  <c r="D50" i="6"/>
  <c r="P27" i="20"/>
  <c r="D38" i="11"/>
  <c r="L37" i="11" s="1"/>
  <c r="E37" i="11"/>
  <c r="C51" i="12"/>
  <c r="B50" i="12"/>
  <c r="F50" i="12"/>
  <c r="K50" i="12"/>
  <c r="A49" i="12"/>
  <c r="I49" i="12"/>
  <c r="G49" i="12" s="1"/>
  <c r="H49" i="12"/>
  <c r="H43" i="2"/>
  <c r="H50" i="2" s="1"/>
  <c r="I33" i="20"/>
  <c r="L30" i="23"/>
  <c r="L31" i="23"/>
  <c r="K65" i="2"/>
  <c r="K60" i="6"/>
  <c r="S62" i="6"/>
  <c r="T62" i="2"/>
  <c r="I44" i="2"/>
  <c r="J34" i="20"/>
  <c r="O29" i="20"/>
  <c r="O31" i="20" s="1"/>
  <c r="O60" i="2" s="1"/>
  <c r="O30" i="20"/>
  <c r="J34" i="12"/>
  <c r="D36" i="12"/>
  <c r="L35" i="12" s="1"/>
  <c r="R44" i="24"/>
  <c r="A44" i="11"/>
  <c r="E44" i="11" s="1"/>
  <c r="H44" i="11"/>
  <c r="I44" i="11"/>
  <c r="G44" i="11" s="1"/>
  <c r="C46" i="11"/>
  <c r="F45" i="11"/>
  <c r="B45" i="11"/>
  <c r="K45" i="11"/>
  <c r="J44" i="11" l="1"/>
  <c r="J44" i="2"/>
  <c r="K34" i="20"/>
  <c r="T62" i="6"/>
  <c r="U62" i="2"/>
  <c r="L34" i="23"/>
  <c r="H51" i="2"/>
  <c r="C52" i="12"/>
  <c r="F51" i="12"/>
  <c r="K51" i="12"/>
  <c r="B51" i="12"/>
  <c r="P30" i="20"/>
  <c r="P29" i="20"/>
  <c r="F43" i="6"/>
  <c r="E50" i="6"/>
  <c r="L61" i="6"/>
  <c r="M61" i="2"/>
  <c r="K48" i="2"/>
  <c r="L37" i="20"/>
  <c r="L65" i="6"/>
  <c r="L45" i="24"/>
  <c r="K46" i="24"/>
  <c r="Q27" i="20"/>
  <c r="V3" i="11"/>
  <c r="S42" i="2"/>
  <c r="R25" i="20"/>
  <c r="R26" i="20" s="1"/>
  <c r="O27" i="23"/>
  <c r="P26" i="23"/>
  <c r="N60" i="6"/>
  <c r="A45" i="11"/>
  <c r="E45" i="11" s="1"/>
  <c r="I45" i="11"/>
  <c r="G45" i="11" s="1"/>
  <c r="H45" i="11"/>
  <c r="C47" i="11"/>
  <c r="F46" i="11"/>
  <c r="B46" i="11"/>
  <c r="K46" i="11"/>
  <c r="S44" i="24"/>
  <c r="D37" i="12"/>
  <c r="O60" i="6"/>
  <c r="K65" i="6"/>
  <c r="I43" i="2"/>
  <c r="I50" i="2" s="1"/>
  <c r="J33" i="20"/>
  <c r="H50" i="12"/>
  <c r="A50" i="12"/>
  <c r="E50" i="12" s="1"/>
  <c r="I50" i="12"/>
  <c r="G50" i="12" s="1"/>
  <c r="J37" i="11"/>
  <c r="D39" i="11"/>
  <c r="L38" i="11" s="1"/>
  <c r="D51" i="6"/>
  <c r="M30" i="23"/>
  <c r="M31" i="23"/>
  <c r="O3" i="12"/>
  <c r="K237" i="6"/>
  <c r="K240" i="6" s="1"/>
  <c r="K243" i="6" s="1"/>
  <c r="L42" i="6"/>
  <c r="K46" i="2"/>
  <c r="K46" i="6" s="1"/>
  <c r="L35" i="20"/>
  <c r="U59" i="17"/>
  <c r="T62" i="17"/>
  <c r="L65" i="2"/>
  <c r="N28" i="23"/>
  <c r="N36" i="23"/>
  <c r="N37" i="23"/>
  <c r="N40" i="23"/>
  <c r="N38" i="23"/>
  <c r="N31" i="23" l="1"/>
  <c r="N30" i="23"/>
  <c r="N34" i="23" s="1"/>
  <c r="U62" i="17"/>
  <c r="V59" i="17"/>
  <c r="L46" i="2"/>
  <c r="L46" i="6" s="1"/>
  <c r="M35" i="20"/>
  <c r="P3" i="12"/>
  <c r="L237" i="6"/>
  <c r="L240" i="6" s="1"/>
  <c r="L243" i="6" s="1"/>
  <c r="M42" i="6"/>
  <c r="M34" i="23"/>
  <c r="I51" i="2"/>
  <c r="D38" i="12"/>
  <c r="L37" i="12"/>
  <c r="E37" i="12"/>
  <c r="H46" i="11"/>
  <c r="I46" i="11"/>
  <c r="G46" i="11" s="1"/>
  <c r="A46" i="11"/>
  <c r="K47" i="11"/>
  <c r="F47" i="11"/>
  <c r="C48" i="11"/>
  <c r="B47" i="11"/>
  <c r="O28" i="23"/>
  <c r="O38" i="23"/>
  <c r="O37" i="23"/>
  <c r="O40" i="23"/>
  <c r="O36" i="23"/>
  <c r="R27" i="20"/>
  <c r="Q29" i="20"/>
  <c r="Q31" i="20" s="1"/>
  <c r="Q60" i="2" s="1"/>
  <c r="Q30" i="20"/>
  <c r="G43" i="6"/>
  <c r="F50" i="6"/>
  <c r="C53" i="12"/>
  <c r="F52" i="12"/>
  <c r="B52" i="12"/>
  <c r="K52" i="12"/>
  <c r="U62" i="6"/>
  <c r="V62" i="2"/>
  <c r="K44" i="2"/>
  <c r="L34" i="20"/>
  <c r="L39" i="11"/>
  <c r="D40" i="11"/>
  <c r="J50" i="12"/>
  <c r="J43" i="2"/>
  <c r="J50" i="2" s="1"/>
  <c r="K33" i="20"/>
  <c r="L36" i="12"/>
  <c r="T44" i="24"/>
  <c r="J45" i="11"/>
  <c r="Q26" i="23"/>
  <c r="P27" i="23"/>
  <c r="T42" i="2"/>
  <c r="W3" i="11"/>
  <c r="S25" i="20"/>
  <c r="S26" i="20" s="1"/>
  <c r="M45" i="24"/>
  <c r="L46" i="24"/>
  <c r="L48" i="2"/>
  <c r="M37" i="20"/>
  <c r="M61" i="6"/>
  <c r="M65" i="6" s="1"/>
  <c r="N61" i="2"/>
  <c r="M65" i="2"/>
  <c r="E51" i="6"/>
  <c r="P31" i="20"/>
  <c r="P60" i="2" s="1"/>
  <c r="H51" i="12"/>
  <c r="I51" i="12"/>
  <c r="G51" i="12" s="1"/>
  <c r="A51" i="12"/>
  <c r="E51" i="12" s="1"/>
  <c r="J51" i="12" l="1"/>
  <c r="S27" i="20"/>
  <c r="X3" i="11"/>
  <c r="T25" i="20"/>
  <c r="T26" i="20" s="1"/>
  <c r="U42" i="2"/>
  <c r="P36" i="23"/>
  <c r="P37" i="23"/>
  <c r="P38" i="23"/>
  <c r="P28" i="23"/>
  <c r="P40" i="23"/>
  <c r="U44" i="24"/>
  <c r="K43" i="2"/>
  <c r="K50" i="2" s="1"/>
  <c r="L33" i="20"/>
  <c r="L40" i="11"/>
  <c r="D41" i="11"/>
  <c r="E40" i="11"/>
  <c r="L44" i="2"/>
  <c r="M34" i="20"/>
  <c r="W62" i="2"/>
  <c r="V62" i="6"/>
  <c r="F51" i="6"/>
  <c r="R29" i="20"/>
  <c r="R30" i="20"/>
  <c r="O31" i="23"/>
  <c r="O30" i="23"/>
  <c r="O34" i="23" s="1"/>
  <c r="C49" i="11"/>
  <c r="B48" i="11"/>
  <c r="K48" i="11"/>
  <c r="F48" i="11"/>
  <c r="J37" i="12"/>
  <c r="D39" i="12"/>
  <c r="M46" i="2"/>
  <c r="M46" i="6" s="1"/>
  <c r="N35" i="20"/>
  <c r="V62" i="17"/>
  <c r="W59" i="17"/>
  <c r="P60" i="6"/>
  <c r="O61" i="2"/>
  <c r="N61" i="6"/>
  <c r="N65" i="6" s="1"/>
  <c r="N65" i="2"/>
  <c r="M48" i="2"/>
  <c r="N37" i="20"/>
  <c r="N45" i="24"/>
  <c r="M46" i="24"/>
  <c r="R26" i="23"/>
  <c r="Q27" i="23"/>
  <c r="J51" i="2"/>
  <c r="I52" i="12"/>
  <c r="G52" i="12" s="1"/>
  <c r="H52" i="12"/>
  <c r="A52" i="12"/>
  <c r="C54" i="12"/>
  <c r="B53" i="12"/>
  <c r="F53" i="12"/>
  <c r="K53" i="12"/>
  <c r="H43" i="6"/>
  <c r="G50" i="6"/>
  <c r="Q60" i="6"/>
  <c r="A47" i="11"/>
  <c r="E47" i="11" s="1"/>
  <c r="H47" i="11"/>
  <c r="I47" i="11"/>
  <c r="G47" i="11" s="1"/>
  <c r="N42" i="6"/>
  <c r="Q3" i="12"/>
  <c r="M237" i="6"/>
  <c r="M240" i="6" s="1"/>
  <c r="M243" i="6" s="1"/>
  <c r="N237" i="6" l="1"/>
  <c r="N240" i="6" s="1"/>
  <c r="N243" i="6" s="1"/>
  <c r="O42" i="6"/>
  <c r="R3" i="12"/>
  <c r="J47" i="11"/>
  <c r="G51" i="6"/>
  <c r="A53" i="12"/>
  <c r="E53" i="12" s="1"/>
  <c r="H53" i="12"/>
  <c r="I53" i="12"/>
  <c r="G53" i="12" s="1"/>
  <c r="R27" i="23"/>
  <c r="S26" i="23"/>
  <c r="N48" i="2"/>
  <c r="O37" i="20"/>
  <c r="O61" i="6"/>
  <c r="O65" i="6" s="1"/>
  <c r="P61" i="2"/>
  <c r="O65" i="2"/>
  <c r="D40" i="12"/>
  <c r="L39" i="12" s="1"/>
  <c r="K49" i="11"/>
  <c r="B49" i="11"/>
  <c r="C50" i="11"/>
  <c r="F49" i="11"/>
  <c r="R31" i="20"/>
  <c r="R60" i="2" s="1"/>
  <c r="W62" i="6"/>
  <c r="X62" i="2"/>
  <c r="D42" i="11"/>
  <c r="L41" i="11" s="1"/>
  <c r="L43" i="2"/>
  <c r="L50" i="2" s="1"/>
  <c r="M33" i="20"/>
  <c r="T27" i="20"/>
  <c r="S29" i="20"/>
  <c r="S30" i="20"/>
  <c r="I43" i="6"/>
  <c r="H50" i="6"/>
  <c r="C55" i="12"/>
  <c r="B54" i="12"/>
  <c r="K54" i="12"/>
  <c r="F54" i="12"/>
  <c r="Q36" i="23"/>
  <c r="Q28" i="23"/>
  <c r="Q40" i="23"/>
  <c r="Q37" i="23"/>
  <c r="Q38" i="23"/>
  <c r="O45" i="24"/>
  <c r="N46" i="24"/>
  <c r="W62" i="17"/>
  <c r="X59" i="17"/>
  <c r="N46" i="2"/>
  <c r="N46" i="6" s="1"/>
  <c r="O35" i="20"/>
  <c r="L38" i="12"/>
  <c r="H48" i="11"/>
  <c r="I48" i="11"/>
  <c r="G48" i="11" s="1"/>
  <c r="A48" i="11"/>
  <c r="E48" i="11" s="1"/>
  <c r="J48" i="11" s="1"/>
  <c r="M44" i="2"/>
  <c r="N34" i="20"/>
  <c r="J40" i="11"/>
  <c r="K51" i="2"/>
  <c r="V44" i="24"/>
  <c r="P31" i="23"/>
  <c r="P30" i="23"/>
  <c r="P34" i="23" s="1"/>
  <c r="Y3" i="11"/>
  <c r="U25" i="20"/>
  <c r="U26" i="20" s="1"/>
  <c r="V42" i="2"/>
  <c r="U27" i="20" l="1"/>
  <c r="W42" i="2"/>
  <c r="V25" i="20"/>
  <c r="V26" i="20" s="1"/>
  <c r="Z3" i="11"/>
  <c r="W44" i="24"/>
  <c r="N44" i="2"/>
  <c r="O34" i="20"/>
  <c r="O46" i="2"/>
  <c r="O46" i="6" s="1"/>
  <c r="P35" i="20"/>
  <c r="Y59" i="17"/>
  <c r="X62" i="17"/>
  <c r="P45" i="24"/>
  <c r="O46" i="24"/>
  <c r="Q30" i="23"/>
  <c r="Q34" i="23" s="1"/>
  <c r="Q31" i="23"/>
  <c r="I54" i="12"/>
  <c r="G54" i="12" s="1"/>
  <c r="A54" i="12"/>
  <c r="E54" i="12" s="1"/>
  <c r="H54" i="12"/>
  <c r="H51" i="6"/>
  <c r="S31" i="20"/>
  <c r="S60" i="2" s="1"/>
  <c r="M43" i="2"/>
  <c r="M50" i="2" s="1"/>
  <c r="N33" i="20"/>
  <c r="X62" i="6"/>
  <c r="Y62" i="2"/>
  <c r="A49" i="11"/>
  <c r="I49" i="11"/>
  <c r="G49" i="11" s="1"/>
  <c r="H49" i="11"/>
  <c r="Q61" i="2"/>
  <c r="P61" i="6"/>
  <c r="P65" i="6" s="1"/>
  <c r="P65" i="2"/>
  <c r="R38" i="23"/>
  <c r="R37" i="23"/>
  <c r="R28" i="23"/>
  <c r="R40" i="23"/>
  <c r="R36" i="23"/>
  <c r="S3" i="12"/>
  <c r="O237" i="6"/>
  <c r="O240" i="6" s="1"/>
  <c r="O243" i="6" s="1"/>
  <c r="P42" i="6"/>
  <c r="K55" i="12"/>
  <c r="B55" i="12"/>
  <c r="F55" i="12"/>
  <c r="C56" i="12"/>
  <c r="I50" i="6"/>
  <c r="J43" i="6"/>
  <c r="T29" i="20"/>
  <c r="T30" i="20"/>
  <c r="L51" i="2"/>
  <c r="D43" i="11"/>
  <c r="L42" i="11" s="1"/>
  <c r="R60" i="6"/>
  <c r="C51" i="11"/>
  <c r="F50" i="11"/>
  <c r="K50" i="11"/>
  <c r="B50" i="11"/>
  <c r="D41" i="12"/>
  <c r="L40" i="12" s="1"/>
  <c r="E40" i="12"/>
  <c r="O48" i="2"/>
  <c r="P37" i="20"/>
  <c r="T26" i="23"/>
  <c r="S27" i="23"/>
  <c r="J53" i="12"/>
  <c r="S37" i="23" l="1"/>
  <c r="S40" i="23"/>
  <c r="S36" i="23"/>
  <c r="S28" i="23"/>
  <c r="S38" i="23"/>
  <c r="P48" i="2"/>
  <c r="Q37" i="20"/>
  <c r="J40" i="12"/>
  <c r="A50" i="11"/>
  <c r="E50" i="11" s="1"/>
  <c r="J50" i="11" s="1"/>
  <c r="I50" i="11"/>
  <c r="G50" i="11" s="1"/>
  <c r="H50" i="11"/>
  <c r="T31" i="20"/>
  <c r="T60" i="2" s="1"/>
  <c r="J50" i="6"/>
  <c r="K43" i="6"/>
  <c r="K56" i="12"/>
  <c r="B56" i="12"/>
  <c r="C57" i="12"/>
  <c r="F56" i="12"/>
  <c r="H55" i="12"/>
  <c r="I55" i="12"/>
  <c r="G55" i="12" s="1"/>
  <c r="A55" i="12"/>
  <c r="P237" i="6"/>
  <c r="P240" i="6" s="1"/>
  <c r="P243" i="6" s="1"/>
  <c r="Q42" i="6"/>
  <c r="T3" i="12"/>
  <c r="Q61" i="6"/>
  <c r="Q65" i="6" s="1"/>
  <c r="R61" i="2"/>
  <c r="Q65" i="2"/>
  <c r="Z62" i="2"/>
  <c r="Y62" i="6"/>
  <c r="N43" i="2"/>
  <c r="N50" i="2" s="1"/>
  <c r="O33" i="20"/>
  <c r="S60" i="6"/>
  <c r="J54" i="12"/>
  <c r="P46" i="2"/>
  <c r="P46" i="6" s="1"/>
  <c r="Q35" i="20"/>
  <c r="O44" i="2"/>
  <c r="P34" i="20"/>
  <c r="X44" i="24"/>
  <c r="W25" i="20"/>
  <c r="W26" i="20" s="1"/>
  <c r="X42" i="2"/>
  <c r="T27" i="23"/>
  <c r="U26" i="23"/>
  <c r="D42" i="12"/>
  <c r="L41" i="12" s="1"/>
  <c r="C52" i="11"/>
  <c r="B51" i="11"/>
  <c r="F51" i="11"/>
  <c r="K51" i="11"/>
  <c r="D44" i="11"/>
  <c r="L43" i="11"/>
  <c r="E43" i="11"/>
  <c r="I51" i="6"/>
  <c r="R30" i="23"/>
  <c r="R31" i="23"/>
  <c r="M51" i="2"/>
  <c r="Q45" i="24"/>
  <c r="P46" i="24"/>
  <c r="Z59" i="17"/>
  <c r="Y62" i="17"/>
  <c r="V27" i="20"/>
  <c r="U30" i="20"/>
  <c r="U29" i="20"/>
  <c r="U31" i="20" s="1"/>
  <c r="U60" i="2" s="1"/>
  <c r="U60" i="6" l="1"/>
  <c r="V30" i="20"/>
  <c r="V29" i="20"/>
  <c r="V31" i="20" s="1"/>
  <c r="V60" i="2" s="1"/>
  <c r="R34" i="23"/>
  <c r="J43" i="11"/>
  <c r="D45" i="11"/>
  <c r="L44" i="11"/>
  <c r="C53" i="11"/>
  <c r="B52" i="11"/>
  <c r="F52" i="11"/>
  <c r="K52" i="11"/>
  <c r="T36" i="23"/>
  <c r="T28" i="23"/>
  <c r="T37" i="23"/>
  <c r="T40" i="23"/>
  <c r="T38" i="23"/>
  <c r="W27" i="20"/>
  <c r="Y44" i="24"/>
  <c r="P44" i="2"/>
  <c r="Q34" i="20"/>
  <c r="Q46" i="2"/>
  <c r="Q46" i="6" s="1"/>
  <c r="R35" i="20"/>
  <c r="N51" i="2"/>
  <c r="AA62" i="2"/>
  <c r="AA62" i="6" s="1"/>
  <c r="Z62" i="6"/>
  <c r="S61" i="2"/>
  <c r="R61" i="6"/>
  <c r="R65" i="6" s="1"/>
  <c r="R65" i="2"/>
  <c r="A56" i="12"/>
  <c r="E56" i="12" s="1"/>
  <c r="H56" i="12"/>
  <c r="I56" i="12"/>
  <c r="G56" i="12" s="1"/>
  <c r="K50" i="6"/>
  <c r="L43" i="6"/>
  <c r="T60" i="6"/>
  <c r="S30" i="23"/>
  <c r="S31" i="23"/>
  <c r="Z62" i="17"/>
  <c r="AA59" i="17"/>
  <c r="R45" i="24"/>
  <c r="Q46" i="24"/>
  <c r="A51" i="11"/>
  <c r="E51" i="11" s="1"/>
  <c r="J51" i="11" s="1"/>
  <c r="I51" i="11"/>
  <c r="G51" i="11" s="1"/>
  <c r="H51" i="11"/>
  <c r="L42" i="12"/>
  <c r="D43" i="12"/>
  <c r="V26" i="23"/>
  <c r="U27" i="23"/>
  <c r="X25" i="20"/>
  <c r="X26" i="20" s="1"/>
  <c r="Y42" i="2"/>
  <c r="O43" i="2"/>
  <c r="O50" i="2" s="1"/>
  <c r="P33" i="20"/>
  <c r="Q237" i="6"/>
  <c r="Q240" i="6" s="1"/>
  <c r="Q243" i="6" s="1"/>
  <c r="R42" i="6"/>
  <c r="U3" i="12"/>
  <c r="C58" i="12"/>
  <c r="B57" i="12"/>
  <c r="F57" i="12"/>
  <c r="K57" i="12"/>
  <c r="J51" i="6"/>
  <c r="Q48" i="2"/>
  <c r="R37" i="20"/>
  <c r="K58" i="12" l="1"/>
  <c r="B58" i="12"/>
  <c r="C59" i="12"/>
  <c r="F58" i="12"/>
  <c r="O51" i="2"/>
  <c r="R48" i="2"/>
  <c r="S37" i="20"/>
  <c r="I57" i="12"/>
  <c r="G57" i="12" s="1"/>
  <c r="A57" i="12"/>
  <c r="E57" i="12" s="1"/>
  <c r="J57" i="12" s="1"/>
  <c r="H57" i="12"/>
  <c r="S42" i="6"/>
  <c r="V3" i="12"/>
  <c r="R237" i="6"/>
  <c r="R240" i="6" s="1"/>
  <c r="R243" i="6" s="1"/>
  <c r="P43" i="2"/>
  <c r="P50" i="2" s="1"/>
  <c r="Q33" i="20"/>
  <c r="Z42" i="2"/>
  <c r="Y25" i="20"/>
  <c r="Y26" i="20" s="1"/>
  <c r="U37" i="23"/>
  <c r="U28" i="23"/>
  <c r="U38" i="23"/>
  <c r="U36" i="23"/>
  <c r="U40" i="23"/>
  <c r="L43" i="12"/>
  <c r="D44" i="12"/>
  <c r="E43" i="12"/>
  <c r="S45" i="24"/>
  <c r="R46" i="24"/>
  <c r="S34" i="23"/>
  <c r="L50" i="6"/>
  <c r="M43" i="6"/>
  <c r="J56" i="12"/>
  <c r="T61" i="2"/>
  <c r="S61" i="6"/>
  <c r="S65" i="6" s="1"/>
  <c r="S65" i="2"/>
  <c r="R46" i="2"/>
  <c r="R46" i="6" s="1"/>
  <c r="S35" i="20"/>
  <c r="Q44" i="2"/>
  <c r="R34" i="20"/>
  <c r="C54" i="11"/>
  <c r="F53" i="11"/>
  <c r="K53" i="11"/>
  <c r="B53" i="11"/>
  <c r="D46" i="11"/>
  <c r="L45" i="11" s="1"/>
  <c r="X27" i="20"/>
  <c r="V27" i="23"/>
  <c r="W26" i="23"/>
  <c r="AB59" i="17"/>
  <c r="AA62" i="17"/>
  <c r="K51" i="6"/>
  <c r="Z44" i="24"/>
  <c r="W30" i="20"/>
  <c r="W29" i="20"/>
  <c r="T30" i="23"/>
  <c r="T34" i="23" s="1"/>
  <c r="T31" i="23"/>
  <c r="H52" i="11"/>
  <c r="I52" i="11"/>
  <c r="G52" i="11" s="1"/>
  <c r="A52" i="11"/>
  <c r="V60" i="6"/>
  <c r="AB62" i="17" l="1"/>
  <c r="AC59" i="17"/>
  <c r="V28" i="23"/>
  <c r="V37" i="23"/>
  <c r="V40" i="23"/>
  <c r="V36" i="23"/>
  <c r="V38" i="23"/>
  <c r="A53" i="11"/>
  <c r="E53" i="11" s="1"/>
  <c r="J53" i="11" s="1"/>
  <c r="I53" i="11"/>
  <c r="G53" i="11" s="1"/>
  <c r="H53" i="11"/>
  <c r="R44" i="2"/>
  <c r="S34" i="20"/>
  <c r="S46" i="2"/>
  <c r="S46" i="6" s="1"/>
  <c r="T35" i="20"/>
  <c r="T61" i="6"/>
  <c r="T65" i="6" s="1"/>
  <c r="U61" i="2"/>
  <c r="T65" i="2"/>
  <c r="M50" i="6"/>
  <c r="N43" i="6"/>
  <c r="T45" i="24"/>
  <c r="S46" i="24"/>
  <c r="D45" i="12"/>
  <c r="L44" i="12" s="1"/>
  <c r="Z25" i="20"/>
  <c r="Z26" i="20" s="1"/>
  <c r="AA42" i="2"/>
  <c r="P51" i="2"/>
  <c r="S48" i="2"/>
  <c r="T37" i="20"/>
  <c r="K59" i="12"/>
  <c r="B59" i="12"/>
  <c r="C60" i="12"/>
  <c r="F59" i="12"/>
  <c r="W31" i="20"/>
  <c r="W60" i="2" s="1"/>
  <c r="AA44" i="24"/>
  <c r="W27" i="23"/>
  <c r="X26" i="23"/>
  <c r="X30" i="20"/>
  <c r="X29" i="20"/>
  <c r="X31" i="20" s="1"/>
  <c r="X60" i="2" s="1"/>
  <c r="D47" i="11"/>
  <c r="L46" i="11"/>
  <c r="E46" i="11"/>
  <c r="J46" i="11" s="1"/>
  <c r="K54" i="11"/>
  <c r="B54" i="11"/>
  <c r="C55" i="11"/>
  <c r="F54" i="11"/>
  <c r="L51" i="6"/>
  <c r="J43" i="12"/>
  <c r="U30" i="23"/>
  <c r="U34" i="23" s="1"/>
  <c r="U31" i="23"/>
  <c r="Y27" i="20"/>
  <c r="Q43" i="2"/>
  <c r="Q50" i="2" s="1"/>
  <c r="R33" i="20"/>
  <c r="S237" i="6"/>
  <c r="S240" i="6" s="1"/>
  <c r="S243" i="6" s="1"/>
  <c r="W3" i="12"/>
  <c r="T42" i="6"/>
  <c r="A58" i="12"/>
  <c r="H58" i="12"/>
  <c r="I58" i="12"/>
  <c r="G58" i="12" s="1"/>
  <c r="U42" i="6" l="1"/>
  <c r="T237" i="6"/>
  <c r="T240" i="6" s="1"/>
  <c r="T243" i="6" s="1"/>
  <c r="X3" i="12"/>
  <c r="Q51" i="2"/>
  <c r="C56" i="11"/>
  <c r="B55" i="11"/>
  <c r="K55" i="11"/>
  <c r="F55" i="11"/>
  <c r="X60" i="6"/>
  <c r="X27" i="23"/>
  <c r="Y26" i="23"/>
  <c r="AB44" i="24"/>
  <c r="W60" i="6"/>
  <c r="A59" i="12"/>
  <c r="E59" i="12" s="1"/>
  <c r="H59" i="12"/>
  <c r="I59" i="12"/>
  <c r="G59" i="12" s="1"/>
  <c r="T48" i="2"/>
  <c r="U37" i="20"/>
  <c r="Z27" i="20"/>
  <c r="U45" i="24"/>
  <c r="T46" i="24"/>
  <c r="M51" i="6"/>
  <c r="U61" i="6"/>
  <c r="U65" i="6" s="1"/>
  <c r="V61" i="2"/>
  <c r="U65" i="2"/>
  <c r="V31" i="23"/>
  <c r="V30" i="23"/>
  <c r="V34" i="23" s="1"/>
  <c r="R43" i="2"/>
  <c r="R50" i="2" s="1"/>
  <c r="S33" i="20"/>
  <c r="Y30" i="20"/>
  <c r="Y29" i="20"/>
  <c r="I54" i="11"/>
  <c r="G54" i="11" s="1"/>
  <c r="H54" i="11"/>
  <c r="A54" i="11"/>
  <c r="E54" i="11" s="1"/>
  <c r="J54" i="11" s="1"/>
  <c r="D48" i="11"/>
  <c r="L47" i="11"/>
  <c r="W36" i="23"/>
  <c r="W38" i="23"/>
  <c r="W40" i="23"/>
  <c r="W37" i="23"/>
  <c r="W28" i="23"/>
  <c r="K60" i="12"/>
  <c r="B60" i="12"/>
  <c r="C61" i="12"/>
  <c r="F60" i="12"/>
  <c r="AA25" i="20"/>
  <c r="AA26" i="20" s="1"/>
  <c r="AB42" i="2"/>
  <c r="D46" i="12"/>
  <c r="L45" i="12" s="1"/>
  <c r="N50" i="6"/>
  <c r="O43" i="6"/>
  <c r="T46" i="2"/>
  <c r="T46" i="6" s="1"/>
  <c r="U35" i="20"/>
  <c r="S44" i="2"/>
  <c r="T34" i="20"/>
  <c r="AD59" i="17"/>
  <c r="AC62" i="17"/>
  <c r="T44" i="2" l="1"/>
  <c r="U34" i="20"/>
  <c r="U46" i="2"/>
  <c r="U46" i="6" s="1"/>
  <c r="V35" i="20"/>
  <c r="O50" i="6"/>
  <c r="P43" i="6"/>
  <c r="AB25" i="20"/>
  <c r="AB26" i="20" s="1"/>
  <c r="AC42" i="2"/>
  <c r="I60" i="12"/>
  <c r="G60" i="12" s="1"/>
  <c r="H60" i="12"/>
  <c r="A60" i="12"/>
  <c r="E60" i="12" s="1"/>
  <c r="J60" i="12" s="1"/>
  <c r="W30" i="23"/>
  <c r="W34" i="23" s="1"/>
  <c r="W31" i="23"/>
  <c r="D49" i="11"/>
  <c r="Y31" i="20"/>
  <c r="Y60" i="2" s="1"/>
  <c r="S43" i="2"/>
  <c r="S50" i="2" s="1"/>
  <c r="T33" i="20"/>
  <c r="V61" i="6"/>
  <c r="V65" i="6" s="1"/>
  <c r="W61" i="2"/>
  <c r="V65" i="2"/>
  <c r="X28" i="23"/>
  <c r="X37" i="23"/>
  <c r="X36" i="23"/>
  <c r="X40" i="23"/>
  <c r="X38" i="23"/>
  <c r="C57" i="11"/>
  <c r="B56" i="11"/>
  <c r="F56" i="11"/>
  <c r="K56" i="11"/>
  <c r="AE59" i="17"/>
  <c r="AD62" i="17"/>
  <c r="N51" i="6"/>
  <c r="L46" i="12"/>
  <c r="D47" i="12"/>
  <c r="E46" i="12"/>
  <c r="AA27" i="20"/>
  <c r="K61" i="12"/>
  <c r="B61" i="12"/>
  <c r="C62" i="12"/>
  <c r="F61" i="12"/>
  <c r="R51" i="2"/>
  <c r="V45" i="24"/>
  <c r="U46" i="24"/>
  <c r="Z29" i="20"/>
  <c r="Z31" i="20" s="1"/>
  <c r="Z60" i="2" s="1"/>
  <c r="Z30" i="20"/>
  <c r="U48" i="2"/>
  <c r="V37" i="20"/>
  <c r="J59" i="12"/>
  <c r="AC44" i="24"/>
  <c r="Z26" i="23"/>
  <c r="Y27" i="23"/>
  <c r="H55" i="11"/>
  <c r="I55" i="11"/>
  <c r="G55" i="11" s="1"/>
  <c r="A55" i="11"/>
  <c r="U237" i="6"/>
  <c r="U240" i="6" s="1"/>
  <c r="U243" i="6" s="1"/>
  <c r="Y3" i="12"/>
  <c r="V42" i="6"/>
  <c r="Y28" i="23" l="1"/>
  <c r="Y38" i="23"/>
  <c r="Y40" i="23"/>
  <c r="Y37" i="23"/>
  <c r="Y36" i="23"/>
  <c r="AD44" i="24"/>
  <c r="Z60" i="6"/>
  <c r="W45" i="24"/>
  <c r="V46" i="24"/>
  <c r="C63" i="12"/>
  <c r="B62" i="12"/>
  <c r="F62" i="12"/>
  <c r="K62" i="12"/>
  <c r="J46" i="12"/>
  <c r="AF59" i="17"/>
  <c r="AF62" i="17" s="1"/>
  <c r="AE62" i="17"/>
  <c r="H56" i="11"/>
  <c r="A56" i="11"/>
  <c r="E56" i="11" s="1"/>
  <c r="J56" i="11" s="1"/>
  <c r="I56" i="11"/>
  <c r="G56" i="11" s="1"/>
  <c r="X31" i="23"/>
  <c r="X30" i="23"/>
  <c r="W61" i="6"/>
  <c r="W65" i="6" s="1"/>
  <c r="X61" i="2"/>
  <c r="W65" i="2"/>
  <c r="T43" i="2"/>
  <c r="T50" i="2" s="1"/>
  <c r="U33" i="20"/>
  <c r="Y60" i="6"/>
  <c r="D50" i="11"/>
  <c r="L49" i="11" s="1"/>
  <c r="E49" i="11"/>
  <c r="J49" i="11" s="1"/>
  <c r="AB35" i="20"/>
  <c r="AB34" i="20"/>
  <c r="AB27" i="20"/>
  <c r="AB33" i="20"/>
  <c r="AB37" i="20"/>
  <c r="O51" i="6"/>
  <c r="V237" i="6"/>
  <c r="V240" i="6" s="1"/>
  <c r="V243" i="6" s="1"/>
  <c r="W42" i="6"/>
  <c r="X42" i="6" s="1"/>
  <c r="Y42" i="6" s="1"/>
  <c r="Z42" i="6" s="1"/>
  <c r="AA42" i="6" s="1"/>
  <c r="AB42" i="6" s="1"/>
  <c r="AC42" i="6" s="1"/>
  <c r="AD42" i="6" s="1"/>
  <c r="AE42" i="6" s="1"/>
  <c r="AF42" i="6" s="1"/>
  <c r="Z3" i="12"/>
  <c r="Z27" i="23"/>
  <c r="AA26" i="23"/>
  <c r="V48" i="2"/>
  <c r="W37" i="20"/>
  <c r="H61" i="12"/>
  <c r="I61" i="12"/>
  <c r="G61" i="12" s="1"/>
  <c r="A61" i="12"/>
  <c r="AA29" i="20"/>
  <c r="AA31" i="20" s="1"/>
  <c r="AA60" i="2" s="1"/>
  <c r="AA30" i="20"/>
  <c r="D48" i="12"/>
  <c r="K57" i="11"/>
  <c r="B57" i="11"/>
  <c r="F57" i="11"/>
  <c r="C58" i="11"/>
  <c r="S51" i="2"/>
  <c r="L48" i="11"/>
  <c r="AC25" i="20"/>
  <c r="AC26" i="20" s="1"/>
  <c r="AD42" i="2"/>
  <c r="P50" i="6"/>
  <c r="Q43" i="6"/>
  <c r="V46" i="2"/>
  <c r="V46" i="6" s="1"/>
  <c r="W35" i="20"/>
  <c r="U44" i="2"/>
  <c r="V34" i="20"/>
  <c r="D49" i="12" l="1"/>
  <c r="L48" i="12" s="1"/>
  <c r="V44" i="2"/>
  <c r="W34" i="20"/>
  <c r="W46" i="2"/>
  <c r="W46" i="6" s="1"/>
  <c r="X35" i="20"/>
  <c r="R43" i="6"/>
  <c r="Q50" i="6"/>
  <c r="AD25" i="20"/>
  <c r="AD26" i="20" s="1"/>
  <c r="AE42" i="2"/>
  <c r="C59" i="11"/>
  <c r="B58" i="11"/>
  <c r="K58" i="11"/>
  <c r="F58" i="11"/>
  <c r="A57" i="11"/>
  <c r="E57" i="11" s="1"/>
  <c r="J57" i="11" s="1"/>
  <c r="I57" i="11"/>
  <c r="G57" i="11" s="1"/>
  <c r="H57" i="11"/>
  <c r="L47" i="12"/>
  <c r="Z36" i="23"/>
  <c r="Z37" i="23"/>
  <c r="Z38" i="23"/>
  <c r="Z28" i="23"/>
  <c r="Z40" i="23"/>
  <c r="AB30" i="20"/>
  <c r="AB29" i="20"/>
  <c r="U43" i="2"/>
  <c r="U50" i="2" s="1"/>
  <c r="V33" i="20"/>
  <c r="Y61" i="2"/>
  <c r="X61" i="6"/>
  <c r="X65" i="6" s="1"/>
  <c r="X65" i="2"/>
  <c r="X34" i="23"/>
  <c r="H62" i="12"/>
  <c r="A62" i="12"/>
  <c r="E62" i="12" s="1"/>
  <c r="J62" i="12" s="1"/>
  <c r="I62" i="12"/>
  <c r="G62" i="12" s="1"/>
  <c r="X45" i="24"/>
  <c r="W46" i="24"/>
  <c r="Y31" i="23"/>
  <c r="Y30" i="23"/>
  <c r="P51" i="6"/>
  <c r="AC27" i="20"/>
  <c r="AC35" i="20"/>
  <c r="AC33" i="20"/>
  <c r="AC37" i="20"/>
  <c r="AC34" i="20"/>
  <c r="AA60" i="6"/>
  <c r="W48" i="2"/>
  <c r="X37" i="20"/>
  <c r="AB26" i="23"/>
  <c r="AA27" i="23"/>
  <c r="D51" i="11"/>
  <c r="L50" i="11"/>
  <c r="T51" i="2"/>
  <c r="C64" i="12"/>
  <c r="F63" i="12"/>
  <c r="K63" i="12"/>
  <c r="B63" i="12"/>
  <c r="AE44" i="24"/>
  <c r="AF44" i="24" l="1"/>
  <c r="K64" i="12"/>
  <c r="F64" i="12"/>
  <c r="C65" i="12"/>
  <c r="B64" i="12"/>
  <c r="D52" i="11"/>
  <c r="AB27" i="23"/>
  <c r="AC26" i="23"/>
  <c r="AC30" i="20"/>
  <c r="AC29" i="20"/>
  <c r="Y34" i="23"/>
  <c r="Y61" i="6"/>
  <c r="Y65" i="6" s="1"/>
  <c r="Z61" i="2"/>
  <c r="Y65" i="2"/>
  <c r="U51" i="2"/>
  <c r="Z30" i="23"/>
  <c r="Z31" i="23"/>
  <c r="K59" i="11"/>
  <c r="B59" i="11"/>
  <c r="F59" i="11"/>
  <c r="C60" i="11"/>
  <c r="AF42" i="2"/>
  <c r="AF25" i="20" s="1"/>
  <c r="AE25" i="20"/>
  <c r="AE26" i="20" s="1"/>
  <c r="Q51" i="6"/>
  <c r="X46" i="2"/>
  <c r="X46" i="6" s="1"/>
  <c r="Y35" i="20"/>
  <c r="W44" i="2"/>
  <c r="X34" i="20"/>
  <c r="A63" i="12"/>
  <c r="E63" i="12" s="1"/>
  <c r="H63" i="12"/>
  <c r="I63" i="12"/>
  <c r="G63" i="12" s="1"/>
  <c r="AA40" i="23"/>
  <c r="AA37" i="23"/>
  <c r="AA28" i="23"/>
  <c r="AA38" i="23"/>
  <c r="AA36" i="23"/>
  <c r="X48" i="2"/>
  <c r="Y37" i="20"/>
  <c r="Y45" i="24"/>
  <c r="X46" i="24"/>
  <c r="V43" i="2"/>
  <c r="V50" i="2" s="1"/>
  <c r="W33" i="20"/>
  <c r="AB31" i="20"/>
  <c r="A58" i="11"/>
  <c r="I58" i="11"/>
  <c r="G58" i="11" s="1"/>
  <c r="H58" i="11"/>
  <c r="AD37" i="20"/>
  <c r="AD34" i="20"/>
  <c r="AD35" i="20"/>
  <c r="AD27" i="20"/>
  <c r="AD33" i="20"/>
  <c r="R50" i="6"/>
  <c r="S43" i="6"/>
  <c r="D50" i="12"/>
  <c r="L49" i="12"/>
  <c r="E49" i="12"/>
  <c r="S50" i="6" l="1"/>
  <c r="T43" i="6"/>
  <c r="V51" i="2"/>
  <c r="X44" i="2"/>
  <c r="Y34" i="20"/>
  <c r="Y46" i="2"/>
  <c r="Y46" i="6" s="1"/>
  <c r="Z35" i="20"/>
  <c r="AE33" i="20"/>
  <c r="AE27" i="20"/>
  <c r="AE34" i="20"/>
  <c r="AE37" i="20"/>
  <c r="AE35" i="20"/>
  <c r="K60" i="11"/>
  <c r="B60" i="11"/>
  <c r="C61" i="11"/>
  <c r="F60" i="11"/>
  <c r="H59" i="11"/>
  <c r="I59" i="11"/>
  <c r="G59" i="11" s="1"/>
  <c r="A59" i="11"/>
  <c r="E59" i="11" s="1"/>
  <c r="J59" i="11" s="1"/>
  <c r="AB40" i="23"/>
  <c r="AB28" i="23"/>
  <c r="AB37" i="23"/>
  <c r="AB36" i="23"/>
  <c r="AB38" i="23"/>
  <c r="D53" i="11"/>
  <c r="L52" i="11" s="1"/>
  <c r="E52" i="11"/>
  <c r="J52" i="11" s="1"/>
  <c r="H64" i="12"/>
  <c r="A64" i="12"/>
  <c r="I64" i="12"/>
  <c r="G64" i="12" s="1"/>
  <c r="J49" i="12"/>
  <c r="D51" i="12"/>
  <c r="L50" i="12" s="1"/>
  <c r="R51" i="6"/>
  <c r="AD30" i="20"/>
  <c r="AD29" i="20"/>
  <c r="W43" i="2"/>
  <c r="W50" i="2" s="1"/>
  <c r="X33" i="20"/>
  <c r="Z45" i="24"/>
  <c r="Y46" i="24"/>
  <c r="Y48" i="2"/>
  <c r="Z37" i="20"/>
  <c r="AA30" i="23"/>
  <c r="AA31" i="23"/>
  <c r="J63" i="12"/>
  <c r="AF26" i="20"/>
  <c r="Z34" i="23"/>
  <c r="Z61" i="6"/>
  <c r="Z65" i="6" s="1"/>
  <c r="AA61" i="2"/>
  <c r="Z65" i="2"/>
  <c r="AC31" i="20"/>
  <c r="AC27" i="23"/>
  <c r="AD26" i="23"/>
  <c r="L51" i="11"/>
  <c r="C66" i="12"/>
  <c r="B65" i="12"/>
  <c r="K65" i="12"/>
  <c r="F65" i="12"/>
  <c r="A65" i="12" l="1"/>
  <c r="E65" i="12" s="1"/>
  <c r="J65" i="12" s="1"/>
  <c r="I65" i="12"/>
  <c r="G65" i="12" s="1"/>
  <c r="H65" i="12"/>
  <c r="K66" i="12"/>
  <c r="F66" i="12"/>
  <c r="C67" i="12"/>
  <c r="B66" i="12"/>
  <c r="AD27" i="23"/>
  <c r="AE26" i="23"/>
  <c r="AA61" i="6"/>
  <c r="AA65" i="6" s="1"/>
  <c r="AA65" i="2"/>
  <c r="AF35" i="20"/>
  <c r="AF37" i="20"/>
  <c r="AF34" i="20"/>
  <c r="AF33" i="20"/>
  <c r="AF27" i="20"/>
  <c r="AA34" i="23"/>
  <c r="AA45" i="24"/>
  <c r="Z46" i="24"/>
  <c r="W51" i="2"/>
  <c r="AD31" i="20"/>
  <c r="H60" i="11"/>
  <c r="A60" i="11"/>
  <c r="E60" i="11" s="1"/>
  <c r="I60" i="11"/>
  <c r="G60" i="11" s="1"/>
  <c r="S51" i="6"/>
  <c r="AC36" i="23"/>
  <c r="AC28" i="23"/>
  <c r="AC38" i="23"/>
  <c r="AC40" i="23"/>
  <c r="AC37" i="23"/>
  <c r="Z48" i="2"/>
  <c r="AA37" i="20"/>
  <c r="AA48" i="2" s="1"/>
  <c r="X43" i="2"/>
  <c r="X50" i="2" s="1"/>
  <c r="Y33" i="20"/>
  <c r="D52" i="12"/>
  <c r="L51" i="12" s="1"/>
  <c r="D54" i="11"/>
  <c r="L53" i="11" s="1"/>
  <c r="AB30" i="23"/>
  <c r="AB31" i="23"/>
  <c r="K61" i="11"/>
  <c r="F61" i="11"/>
  <c r="B61" i="11"/>
  <c r="C62" i="11"/>
  <c r="AE30" i="20"/>
  <c r="AE29" i="20"/>
  <c r="AE31" i="20" s="1"/>
  <c r="Z46" i="2"/>
  <c r="Z46" i="6" s="1"/>
  <c r="AA35" i="20"/>
  <c r="AA46" i="2" s="1"/>
  <c r="AA46" i="6" s="1"/>
  <c r="Y44" i="2"/>
  <c r="Z34" i="20"/>
  <c r="T50" i="6"/>
  <c r="U43" i="6"/>
  <c r="V43" i="6" l="1"/>
  <c r="U50" i="6"/>
  <c r="Z44" i="2"/>
  <c r="AA34" i="20"/>
  <c r="AA44" i="2" s="1"/>
  <c r="T51" i="6"/>
  <c r="A61" i="11"/>
  <c r="H61" i="11"/>
  <c r="I61" i="11"/>
  <c r="G61" i="11" s="1"/>
  <c r="AB34" i="23"/>
  <c r="X51" i="2"/>
  <c r="AC31" i="23"/>
  <c r="AC30" i="23"/>
  <c r="J60" i="11"/>
  <c r="AB45" i="24"/>
  <c r="AA46" i="24"/>
  <c r="AF30" i="20"/>
  <c r="AF29" i="20"/>
  <c r="AD36" i="23"/>
  <c r="AD40" i="23"/>
  <c r="AD28" i="23"/>
  <c r="AD38" i="23"/>
  <c r="AD37" i="23"/>
  <c r="K67" i="12"/>
  <c r="B67" i="12"/>
  <c r="C68" i="12"/>
  <c r="F67" i="12"/>
  <c r="C63" i="11"/>
  <c r="B62" i="11"/>
  <c r="K62" i="11"/>
  <c r="F62" i="11"/>
  <c r="D55" i="11"/>
  <c r="L54" i="11" s="1"/>
  <c r="D53" i="12"/>
  <c r="L52" i="12"/>
  <c r="E52" i="12"/>
  <c r="Y43" i="2"/>
  <c r="Y50" i="2" s="1"/>
  <c r="Z33" i="20"/>
  <c r="AE27" i="23"/>
  <c r="AF26" i="23"/>
  <c r="H66" i="12"/>
  <c r="I66" i="12"/>
  <c r="G66" i="12" s="1"/>
  <c r="A66" i="12"/>
  <c r="E66" i="12" s="1"/>
  <c r="J66" i="12" s="1"/>
  <c r="AF27" i="23" l="1"/>
  <c r="Z43" i="2"/>
  <c r="Z50" i="2" s="1"/>
  <c r="AA33" i="20"/>
  <c r="AA43" i="2" s="1"/>
  <c r="AA50" i="2" s="1"/>
  <c r="J52" i="12"/>
  <c r="D54" i="12"/>
  <c r="L53" i="12"/>
  <c r="K63" i="11"/>
  <c r="F63" i="11"/>
  <c r="C64" i="11"/>
  <c r="B63" i="11"/>
  <c r="A67" i="12"/>
  <c r="AD30" i="23"/>
  <c r="AD34" i="23" s="1"/>
  <c r="AD31" i="23"/>
  <c r="AF31" i="20"/>
  <c r="AC34" i="23"/>
  <c r="U51" i="6"/>
  <c r="AE28" i="23"/>
  <c r="AE38" i="23"/>
  <c r="AE40" i="23"/>
  <c r="AE36" i="23"/>
  <c r="AE37" i="23"/>
  <c r="Y51" i="2"/>
  <c r="D56" i="11"/>
  <c r="L55" i="11"/>
  <c r="E55" i="11"/>
  <c r="J55" i="11" s="1"/>
  <c r="A62" i="11"/>
  <c r="E62" i="11" s="1"/>
  <c r="J62" i="11" s="1"/>
  <c r="I62" i="11"/>
  <c r="G62" i="11" s="1"/>
  <c r="H62" i="11"/>
  <c r="C69" i="12"/>
  <c r="F68" i="12"/>
  <c r="B68" i="12"/>
  <c r="K68" i="12"/>
  <c r="AC45" i="24"/>
  <c r="AB46" i="24"/>
  <c r="V50" i="6"/>
  <c r="W43" i="6"/>
  <c r="A68" i="12" l="1"/>
  <c r="E68" i="12" s="1"/>
  <c r="J68" i="12" s="1"/>
  <c r="I68" i="12"/>
  <c r="G68" i="12" s="1"/>
  <c r="H68" i="12"/>
  <c r="K69" i="12"/>
  <c r="B69" i="12"/>
  <c r="C70" i="12"/>
  <c r="F69" i="12"/>
  <c r="D57" i="11"/>
  <c r="L56" i="11" s="1"/>
  <c r="K64" i="11"/>
  <c r="B64" i="11"/>
  <c r="C65" i="11"/>
  <c r="F64" i="11"/>
  <c r="D55" i="12"/>
  <c r="L54" i="12"/>
  <c r="Z51" i="2"/>
  <c r="Z67" i="2"/>
  <c r="V51" i="6"/>
  <c r="W50" i="6"/>
  <c r="X43" i="6"/>
  <c r="AD45" i="24"/>
  <c r="AC46" i="24"/>
  <c r="AE31" i="23"/>
  <c r="AE30" i="23"/>
  <c r="H63" i="11"/>
  <c r="I63" i="11"/>
  <c r="G63" i="11" s="1"/>
  <c r="A63" i="11"/>
  <c r="E63" i="11" s="1"/>
  <c r="J63" i="11" s="1"/>
  <c r="AA51" i="2"/>
  <c r="AA67" i="2"/>
  <c r="AF40" i="23"/>
  <c r="AF36" i="23"/>
  <c r="AF37" i="23"/>
  <c r="AF38" i="23"/>
  <c r="AF28" i="23"/>
  <c r="AE34" i="23" l="1"/>
  <c r="AE45" i="24"/>
  <c r="AD46" i="24"/>
  <c r="W51" i="6"/>
  <c r="D56" i="12"/>
  <c r="E55" i="12"/>
  <c r="J55" i="12" s="1"/>
  <c r="K65" i="11"/>
  <c r="F65" i="11"/>
  <c r="B65" i="11"/>
  <c r="C66" i="11"/>
  <c r="C71" i="12"/>
  <c r="B70" i="12"/>
  <c r="K70" i="12"/>
  <c r="F70" i="12"/>
  <c r="AA68" i="2"/>
  <c r="AA69" i="2" s="1"/>
  <c r="AF30" i="23"/>
  <c r="AF31" i="23"/>
  <c r="Y43" i="6"/>
  <c r="X50" i="6"/>
  <c r="Z69" i="2"/>
  <c r="Z68" i="2"/>
  <c r="Z100" i="2" s="1"/>
  <c r="H64" i="11"/>
  <c r="I64" i="11"/>
  <c r="G64" i="11" s="1"/>
  <c r="A64" i="11"/>
  <c r="D58" i="11"/>
  <c r="L57" i="11"/>
  <c r="A69" i="12"/>
  <c r="E69" i="12" s="1"/>
  <c r="H69" i="12"/>
  <c r="I69" i="12"/>
  <c r="G69" i="12" s="1"/>
  <c r="AA73" i="2" l="1"/>
  <c r="AA81" i="2"/>
  <c r="AA83" i="2" s="1"/>
  <c r="AA70" i="2"/>
  <c r="Z70" i="2"/>
  <c r="Z73" i="2"/>
  <c r="Z81" i="2"/>
  <c r="Z83" i="2" s="1"/>
  <c r="Y50" i="6"/>
  <c r="Z43" i="6"/>
  <c r="A70" i="12"/>
  <c r="K66" i="11"/>
  <c r="B66" i="11"/>
  <c r="F66" i="11"/>
  <c r="C67" i="11"/>
  <c r="D57" i="12"/>
  <c r="AF45" i="24"/>
  <c r="AF46" i="24" s="1"/>
  <c r="AE46" i="24"/>
  <c r="J69" i="12"/>
  <c r="D59" i="11"/>
  <c r="L58" i="11"/>
  <c r="E58" i="11"/>
  <c r="J58" i="11" s="1"/>
  <c r="X51" i="6"/>
  <c r="AA100" i="2"/>
  <c r="AF34" i="23"/>
  <c r="K71" i="12"/>
  <c r="B71" i="12"/>
  <c r="C72" i="12"/>
  <c r="F71" i="12"/>
  <c r="A65" i="11"/>
  <c r="E65" i="11" s="1"/>
  <c r="J65" i="11" s="1"/>
  <c r="I65" i="11"/>
  <c r="G65" i="11" s="1"/>
  <c r="H65" i="11"/>
  <c r="L55" i="12"/>
  <c r="K72" i="12" l="1"/>
  <c r="B72" i="12"/>
  <c r="C73" i="12"/>
  <c r="F72" i="12"/>
  <c r="D58" i="12"/>
  <c r="C68" i="11"/>
  <c r="B67" i="11"/>
  <c r="K67" i="11"/>
  <c r="F67" i="11"/>
  <c r="I66" i="11"/>
  <c r="G66" i="11" s="1"/>
  <c r="A66" i="11"/>
  <c r="E66" i="11" s="1"/>
  <c r="J66" i="11" s="1"/>
  <c r="H66" i="11"/>
  <c r="Y51" i="6"/>
  <c r="AA84" i="2"/>
  <c r="AA92" i="2"/>
  <c r="AA95" i="2" s="1"/>
  <c r="I71" i="12"/>
  <c r="G71" i="12" s="1"/>
  <c r="A71" i="12"/>
  <c r="E71" i="12" s="1"/>
  <c r="H71" i="12"/>
  <c r="D60" i="11"/>
  <c r="L59" i="11"/>
  <c r="L56" i="12"/>
  <c r="AA43" i="6"/>
  <c r="AA50" i="6" s="1"/>
  <c r="Z50" i="6"/>
  <c r="Z84" i="2"/>
  <c r="Z92" i="2"/>
  <c r="Z95" i="2" s="1"/>
  <c r="Z51" i="6" l="1"/>
  <c r="Z67" i="6"/>
  <c r="D61" i="11"/>
  <c r="L60" i="11" s="1"/>
  <c r="J71" i="12"/>
  <c r="C69" i="11"/>
  <c r="F68" i="11"/>
  <c r="B68" i="11"/>
  <c r="K68" i="11"/>
  <c r="L58" i="12"/>
  <c r="D59" i="12"/>
  <c r="E58" i="12"/>
  <c r="J58" i="12" s="1"/>
  <c r="A72" i="12"/>
  <c r="E72" i="12" s="1"/>
  <c r="I72" i="12"/>
  <c r="G72" i="12" s="1"/>
  <c r="H72" i="12"/>
  <c r="AA51" i="6"/>
  <c r="AA67" i="6"/>
  <c r="A67" i="11"/>
  <c r="L57" i="12"/>
  <c r="K73" i="12"/>
  <c r="F73" i="12"/>
  <c r="B73" i="12"/>
  <c r="C74" i="12"/>
  <c r="A73" i="12" l="1"/>
  <c r="C75" i="12"/>
  <c r="F74" i="12"/>
  <c r="K74" i="12"/>
  <c r="B74" i="12"/>
  <c r="AA68" i="6"/>
  <c r="AA69" i="6" s="1"/>
  <c r="J72" i="12"/>
  <c r="D60" i="12"/>
  <c r="Z69" i="6"/>
  <c r="Z68" i="6"/>
  <c r="A68" i="11"/>
  <c r="E68" i="11" s="1"/>
  <c r="H68" i="11"/>
  <c r="I68" i="11"/>
  <c r="G68" i="11" s="1"/>
  <c r="C70" i="11"/>
  <c r="B69" i="11"/>
  <c r="K69" i="11"/>
  <c r="F69" i="11"/>
  <c r="D62" i="11"/>
  <c r="L61" i="11"/>
  <c r="E61" i="11"/>
  <c r="J61" i="11" s="1"/>
  <c r="Z100" i="6"/>
  <c r="AA81" i="6" l="1"/>
  <c r="AA83" i="6" s="1"/>
  <c r="AA70" i="6"/>
  <c r="AA73" i="6"/>
  <c r="D63" i="11"/>
  <c r="L62" i="11" s="1"/>
  <c r="C71" i="11"/>
  <c r="F70" i="11"/>
  <c r="K70" i="11"/>
  <c r="B70" i="11"/>
  <c r="Z73" i="6"/>
  <c r="Z81" i="6"/>
  <c r="Z83" i="6" s="1"/>
  <c r="Z70" i="6"/>
  <c r="L60" i="12"/>
  <c r="D61" i="12"/>
  <c r="A74" i="12"/>
  <c r="E74" i="12" s="1"/>
  <c r="J74" i="12" s="1"/>
  <c r="I74" i="12"/>
  <c r="G74" i="12" s="1"/>
  <c r="H74" i="12"/>
  <c r="AA100" i="6"/>
  <c r="I69" i="11"/>
  <c r="G69" i="11" s="1"/>
  <c r="H69" i="11"/>
  <c r="A69" i="11"/>
  <c r="E69" i="11" s="1"/>
  <c r="J69" i="11" s="1"/>
  <c r="J68" i="11"/>
  <c r="L59" i="12"/>
  <c r="C76" i="12"/>
  <c r="F75" i="12"/>
  <c r="K75" i="12"/>
  <c r="B75" i="12"/>
  <c r="H75" i="12" l="1"/>
  <c r="I75" i="12"/>
  <c r="G75" i="12" s="1"/>
  <c r="A75" i="12"/>
  <c r="E75" i="12" s="1"/>
  <c r="J75" i="12" s="1"/>
  <c r="C77" i="12"/>
  <c r="F76" i="12"/>
  <c r="B76" i="12"/>
  <c r="K76" i="12"/>
  <c r="L61" i="12"/>
  <c r="D62" i="12"/>
  <c r="E61" i="12"/>
  <c r="J61" i="12" s="1"/>
  <c r="K71" i="11"/>
  <c r="F71" i="11"/>
  <c r="B71" i="11"/>
  <c r="C72" i="11"/>
  <c r="Z84" i="6"/>
  <c r="Z92" i="6"/>
  <c r="Z95" i="6" s="1"/>
  <c r="A70" i="11"/>
  <c r="D64" i="11"/>
  <c r="AA92" i="6"/>
  <c r="AA95" i="6" s="1"/>
  <c r="AA84" i="6"/>
  <c r="K72" i="11" l="1"/>
  <c r="B72" i="11"/>
  <c r="C73" i="11"/>
  <c r="F72" i="11"/>
  <c r="A76" i="12"/>
  <c r="C78" i="12"/>
  <c r="F77" i="12"/>
  <c r="K77" i="12"/>
  <c r="B77" i="12"/>
  <c r="D65" i="11"/>
  <c r="L64" i="11"/>
  <c r="E64" i="11"/>
  <c r="J64" i="11" s="1"/>
  <c r="L63" i="11"/>
  <c r="A71" i="11"/>
  <c r="E71" i="11" s="1"/>
  <c r="J71" i="11" s="1"/>
  <c r="H71" i="11"/>
  <c r="I71" i="11"/>
  <c r="G71" i="11" s="1"/>
  <c r="D63" i="12"/>
  <c r="D64" i="12" l="1"/>
  <c r="L63" i="12" s="1"/>
  <c r="L62" i="12"/>
  <c r="A77" i="12"/>
  <c r="E77" i="12" s="1"/>
  <c r="H77" i="12"/>
  <c r="I77" i="12"/>
  <c r="G77" i="12" s="1"/>
  <c r="C74" i="11"/>
  <c r="B73" i="11"/>
  <c r="F73" i="11"/>
  <c r="K73" i="11"/>
  <c r="D66" i="11"/>
  <c r="K78" i="12"/>
  <c r="F78" i="12"/>
  <c r="C79" i="12"/>
  <c r="B78" i="12"/>
  <c r="A72" i="11"/>
  <c r="E72" i="11" s="1"/>
  <c r="J72" i="11" s="1"/>
  <c r="I72" i="11"/>
  <c r="G72" i="11" s="1"/>
  <c r="H72" i="11"/>
  <c r="K79" i="12" l="1"/>
  <c r="F79" i="12"/>
  <c r="B79" i="12"/>
  <c r="C80" i="12"/>
  <c r="D67" i="11"/>
  <c r="L66" i="11" s="1"/>
  <c r="C75" i="11"/>
  <c r="B74" i="11"/>
  <c r="F74" i="11"/>
  <c r="K74" i="11"/>
  <c r="J77" i="12"/>
  <c r="I78" i="12"/>
  <c r="G78" i="12" s="1"/>
  <c r="H78" i="12"/>
  <c r="A78" i="12"/>
  <c r="E78" i="12" s="1"/>
  <c r="J78" i="12" s="1"/>
  <c r="L65" i="11"/>
  <c r="A73" i="11"/>
  <c r="D65" i="12"/>
  <c r="L64" i="12"/>
  <c r="E64" i="12"/>
  <c r="J64" i="12" s="1"/>
  <c r="I74" i="11" l="1"/>
  <c r="G74" i="11" s="1"/>
  <c r="A74" i="11"/>
  <c r="E74" i="11" s="1"/>
  <c r="J74" i="11" s="1"/>
  <c r="H74" i="11"/>
  <c r="K80" i="12"/>
  <c r="F80" i="12"/>
  <c r="C81" i="12"/>
  <c r="B80" i="12"/>
  <c r="L65" i="12"/>
  <c r="D66" i="12"/>
  <c r="K75" i="11"/>
  <c r="F75" i="11"/>
  <c r="C76" i="11"/>
  <c r="B75" i="11"/>
  <c r="H67" i="11"/>
  <c r="E67" i="11"/>
  <c r="A79" i="12"/>
  <c r="I67" i="11" l="1"/>
  <c r="G67" i="11" s="1"/>
  <c r="D68" i="11" s="1"/>
  <c r="I75" i="11"/>
  <c r="G75" i="11" s="1"/>
  <c r="A75" i="11"/>
  <c r="E75" i="11" s="1"/>
  <c r="J75" i="11" s="1"/>
  <c r="H75" i="11"/>
  <c r="K81" i="12"/>
  <c r="B81" i="12"/>
  <c r="C82" i="12"/>
  <c r="F81" i="12"/>
  <c r="C77" i="11"/>
  <c r="F76" i="11"/>
  <c r="K76" i="11"/>
  <c r="B76" i="11"/>
  <c r="D67" i="12"/>
  <c r="L66" i="12"/>
  <c r="A80" i="12"/>
  <c r="E80" i="12" s="1"/>
  <c r="H80" i="12"/>
  <c r="I80" i="12"/>
  <c r="G80" i="12" s="1"/>
  <c r="A76" i="11" l="1"/>
  <c r="K82" i="12"/>
  <c r="F82" i="12"/>
  <c r="B82" i="12"/>
  <c r="C83" i="12"/>
  <c r="L68" i="11"/>
  <c r="D69" i="11"/>
  <c r="L67" i="11"/>
  <c r="J80" i="12"/>
  <c r="H67" i="12"/>
  <c r="E67" i="12"/>
  <c r="C78" i="11"/>
  <c r="B77" i="11"/>
  <c r="F77" i="11"/>
  <c r="K77" i="11"/>
  <c r="A81" i="12"/>
  <c r="E81" i="12" s="1"/>
  <c r="J81" i="12" s="1"/>
  <c r="I81" i="12"/>
  <c r="G81" i="12" s="1"/>
  <c r="H81" i="12"/>
  <c r="J67" i="11"/>
  <c r="C79" i="11" l="1"/>
  <c r="B78" i="11"/>
  <c r="K78" i="11"/>
  <c r="F78" i="11"/>
  <c r="A82" i="12"/>
  <c r="H77" i="11"/>
  <c r="A77" i="11"/>
  <c r="E77" i="11" s="1"/>
  <c r="J77" i="11" s="1"/>
  <c r="I77" i="11"/>
  <c r="G77" i="11" s="1"/>
  <c r="J67" i="12"/>
  <c r="I67" i="12"/>
  <c r="G67" i="12" s="1"/>
  <c r="D68" i="12" s="1"/>
  <c r="D70" i="11"/>
  <c r="C84" i="12"/>
  <c r="B83" i="12"/>
  <c r="F83" i="12"/>
  <c r="K83" i="12"/>
  <c r="C85" i="12" l="1"/>
  <c r="B84" i="12"/>
  <c r="K84" i="12"/>
  <c r="F84" i="12"/>
  <c r="A78" i="11"/>
  <c r="E78" i="11" s="1"/>
  <c r="H78" i="11"/>
  <c r="I78" i="11"/>
  <c r="G78" i="11" s="1"/>
  <c r="H70" i="11"/>
  <c r="E70" i="11"/>
  <c r="H83" i="12"/>
  <c r="I83" i="12"/>
  <c r="G83" i="12" s="1"/>
  <c r="A83" i="12"/>
  <c r="E83" i="12" s="1"/>
  <c r="L69" i="11"/>
  <c r="D69" i="12"/>
  <c r="L68" i="12"/>
  <c r="L67" i="12"/>
  <c r="C80" i="11"/>
  <c r="F79" i="11"/>
  <c r="B79" i="11"/>
  <c r="K79" i="11"/>
  <c r="K80" i="11" l="1"/>
  <c r="B80" i="11"/>
  <c r="C81" i="11"/>
  <c r="F80" i="11"/>
  <c r="I70" i="11"/>
  <c r="G70" i="11" s="1"/>
  <c r="D71" i="11" s="1"/>
  <c r="J78" i="11"/>
  <c r="I84" i="12"/>
  <c r="G84" i="12" s="1"/>
  <c r="H84" i="12"/>
  <c r="A84" i="12"/>
  <c r="E84" i="12" s="1"/>
  <c r="J84" i="12" s="1"/>
  <c r="A79" i="11"/>
  <c r="L69" i="12"/>
  <c r="D70" i="12"/>
  <c r="J83" i="12"/>
  <c r="C86" i="12"/>
  <c r="B85" i="12"/>
  <c r="K85" i="12"/>
  <c r="F85" i="12"/>
  <c r="A85" i="12" l="1"/>
  <c r="D72" i="11"/>
  <c r="L71" i="11"/>
  <c r="L70" i="11"/>
  <c r="A80" i="11"/>
  <c r="E80" i="11" s="1"/>
  <c r="H80" i="11"/>
  <c r="I80" i="11"/>
  <c r="G80" i="11" s="1"/>
  <c r="K86" i="12"/>
  <c r="F86" i="12"/>
  <c r="B86" i="12"/>
  <c r="C87" i="12"/>
  <c r="H70" i="12"/>
  <c r="E70" i="12"/>
  <c r="J70" i="11"/>
  <c r="C82" i="11"/>
  <c r="F81" i="11"/>
  <c r="K81" i="11"/>
  <c r="B81" i="11"/>
  <c r="I70" i="12" l="1"/>
  <c r="G70" i="12" s="1"/>
  <c r="D71" i="12" s="1"/>
  <c r="C83" i="11"/>
  <c r="F82" i="11"/>
  <c r="B82" i="11"/>
  <c r="K82" i="11"/>
  <c r="A86" i="12"/>
  <c r="E86" i="12" s="1"/>
  <c r="H86" i="12"/>
  <c r="I86" i="12"/>
  <c r="G86" i="12" s="1"/>
  <c r="D73" i="11"/>
  <c r="L72" i="11"/>
  <c r="H81" i="11"/>
  <c r="I81" i="11"/>
  <c r="G81" i="11" s="1"/>
  <c r="A81" i="11"/>
  <c r="E81" i="11" s="1"/>
  <c r="C88" i="12"/>
  <c r="F87" i="12"/>
  <c r="B87" i="12"/>
  <c r="K87" i="12"/>
  <c r="J80" i="11"/>
  <c r="K88" i="12" l="1"/>
  <c r="B88" i="12"/>
  <c r="F88" i="12"/>
  <c r="C89" i="12"/>
  <c r="J81" i="11"/>
  <c r="H73" i="11"/>
  <c r="E73" i="11"/>
  <c r="D72" i="12"/>
  <c r="L70" i="12"/>
  <c r="I87" i="12"/>
  <c r="G87" i="12" s="1"/>
  <c r="A87" i="12"/>
  <c r="E87" i="12" s="1"/>
  <c r="J87" i="12" s="1"/>
  <c r="H87" i="12"/>
  <c r="J86" i="12"/>
  <c r="A82" i="11"/>
  <c r="K83" i="11"/>
  <c r="B83" i="11"/>
  <c r="C84" i="11"/>
  <c r="F83" i="11"/>
  <c r="J70" i="12"/>
  <c r="D73" i="12" l="1"/>
  <c r="L72" i="12"/>
  <c r="C90" i="12"/>
  <c r="B89" i="12"/>
  <c r="K89" i="12"/>
  <c r="F89" i="12"/>
  <c r="A88" i="12"/>
  <c r="C85" i="11"/>
  <c r="F84" i="11"/>
  <c r="K84" i="11"/>
  <c r="B84" i="11"/>
  <c r="A83" i="11"/>
  <c r="E83" i="11" s="1"/>
  <c r="H83" i="11"/>
  <c r="I83" i="11"/>
  <c r="G83" i="11" s="1"/>
  <c r="L71" i="12"/>
  <c r="I73" i="11"/>
  <c r="G73" i="11" s="1"/>
  <c r="D74" i="11" s="1"/>
  <c r="J83" i="11" l="1"/>
  <c r="K85" i="11"/>
  <c r="F85" i="11"/>
  <c r="C86" i="11"/>
  <c r="B85" i="11"/>
  <c r="A89" i="12"/>
  <c r="E89" i="12" s="1"/>
  <c r="I89" i="12"/>
  <c r="G89" i="12" s="1"/>
  <c r="H89" i="12"/>
  <c r="D75" i="11"/>
  <c r="L74" i="11"/>
  <c r="L73" i="11"/>
  <c r="J73" i="11"/>
  <c r="A84" i="11"/>
  <c r="E84" i="11" s="1"/>
  <c r="J84" i="11" s="1"/>
  <c r="I84" i="11"/>
  <c r="G84" i="11" s="1"/>
  <c r="H84" i="11"/>
  <c r="C91" i="12"/>
  <c r="F90" i="12"/>
  <c r="B90" i="12"/>
  <c r="K90" i="12"/>
  <c r="H73" i="12"/>
  <c r="E73" i="12"/>
  <c r="H90" i="12" l="1"/>
  <c r="A90" i="12"/>
  <c r="E90" i="12" s="1"/>
  <c r="J90" i="12" s="1"/>
  <c r="I90" i="12"/>
  <c r="G90" i="12" s="1"/>
  <c r="J73" i="12"/>
  <c r="I73" i="12"/>
  <c r="G73" i="12" s="1"/>
  <c r="D74" i="12" s="1"/>
  <c r="J89" i="12"/>
  <c r="C87" i="11"/>
  <c r="B86" i="11"/>
  <c r="K86" i="11"/>
  <c r="F86" i="11"/>
  <c r="K91" i="12"/>
  <c r="F91" i="12"/>
  <c r="B91" i="12"/>
  <c r="C92" i="12"/>
  <c r="D76" i="11"/>
  <c r="L75" i="11"/>
  <c r="A85" i="11"/>
  <c r="K92" i="12" l="1"/>
  <c r="F92" i="12"/>
  <c r="C93" i="12"/>
  <c r="B92" i="12"/>
  <c r="A86" i="11"/>
  <c r="E86" i="11" s="1"/>
  <c r="H86" i="11"/>
  <c r="I86" i="11"/>
  <c r="G86" i="11" s="1"/>
  <c r="H76" i="11"/>
  <c r="E76" i="11"/>
  <c r="A91" i="12"/>
  <c r="K87" i="11"/>
  <c r="F87" i="11"/>
  <c r="B87" i="11"/>
  <c r="C88" i="11"/>
  <c r="D75" i="12"/>
  <c r="L74" i="12"/>
  <c r="L73" i="12"/>
  <c r="D76" i="12" l="1"/>
  <c r="L75" i="12" s="1"/>
  <c r="I87" i="11"/>
  <c r="G87" i="11" s="1"/>
  <c r="A87" i="11"/>
  <c r="E87" i="11" s="1"/>
  <c r="J87" i="11" s="1"/>
  <c r="H87" i="11"/>
  <c r="J76" i="11"/>
  <c r="I76" i="11"/>
  <c r="G76" i="11" s="1"/>
  <c r="D77" i="11" s="1"/>
  <c r="A92" i="12"/>
  <c r="E92" i="12" s="1"/>
  <c r="J92" i="12" s="1"/>
  <c r="H92" i="12"/>
  <c r="I92" i="12"/>
  <c r="G92" i="12" s="1"/>
  <c r="C89" i="11"/>
  <c r="B88" i="11"/>
  <c r="F88" i="11"/>
  <c r="K88" i="11"/>
  <c r="J86" i="11"/>
  <c r="C94" i="12"/>
  <c r="B93" i="12"/>
  <c r="F93" i="12"/>
  <c r="K93" i="12"/>
  <c r="A93" i="12" l="1"/>
  <c r="E93" i="12" s="1"/>
  <c r="H93" i="12"/>
  <c r="I93" i="12"/>
  <c r="G93" i="12" s="1"/>
  <c r="A88" i="11"/>
  <c r="C95" i="12"/>
  <c r="B94" i="12"/>
  <c r="K94" i="12"/>
  <c r="F94" i="12"/>
  <c r="C90" i="11"/>
  <c r="B89" i="11"/>
  <c r="F89" i="11"/>
  <c r="K89" i="11"/>
  <c r="D78" i="11"/>
  <c r="L76" i="11"/>
  <c r="H76" i="12"/>
  <c r="E76" i="12"/>
  <c r="D79" i="11" l="1"/>
  <c r="L78" i="11" s="1"/>
  <c r="I89" i="11"/>
  <c r="G89" i="11" s="1"/>
  <c r="A89" i="11"/>
  <c r="E89" i="11" s="1"/>
  <c r="J89" i="11" s="1"/>
  <c r="H89" i="11"/>
  <c r="A94" i="12"/>
  <c r="J76" i="12"/>
  <c r="I76" i="12"/>
  <c r="G76" i="12" s="1"/>
  <c r="D77" i="12" s="1"/>
  <c r="L77" i="11"/>
  <c r="C91" i="11"/>
  <c r="F90" i="11"/>
  <c r="B90" i="11"/>
  <c r="K90" i="11"/>
  <c r="C96" i="12"/>
  <c r="F95" i="12"/>
  <c r="K95" i="12"/>
  <c r="B95" i="12"/>
  <c r="J93" i="12"/>
  <c r="A95" i="12" l="1"/>
  <c r="E95" i="12" s="1"/>
  <c r="H95" i="12"/>
  <c r="I95" i="12"/>
  <c r="G95" i="12" s="1"/>
  <c r="K96" i="12"/>
  <c r="F96" i="12"/>
  <c r="B96" i="12"/>
  <c r="C97" i="12"/>
  <c r="I90" i="11"/>
  <c r="G90" i="11" s="1"/>
  <c r="H90" i="11"/>
  <c r="A90" i="11"/>
  <c r="E90" i="11" s="1"/>
  <c r="J90" i="11" s="1"/>
  <c r="K91" i="11"/>
  <c r="F91" i="11"/>
  <c r="B91" i="11"/>
  <c r="C92" i="11"/>
  <c r="D78" i="12"/>
  <c r="L77" i="12"/>
  <c r="L76" i="12"/>
  <c r="H79" i="11"/>
  <c r="E79" i="11"/>
  <c r="I79" i="11" l="1"/>
  <c r="G79" i="11" s="1"/>
  <c r="D80" i="11" s="1"/>
  <c r="D79" i="12"/>
  <c r="A91" i="11"/>
  <c r="K97" i="12"/>
  <c r="B97" i="12"/>
  <c r="C98" i="12"/>
  <c r="F97" i="12"/>
  <c r="C93" i="11"/>
  <c r="B92" i="11"/>
  <c r="F92" i="11"/>
  <c r="K92" i="11"/>
  <c r="I96" i="12"/>
  <c r="G96" i="12" s="1"/>
  <c r="A96" i="12"/>
  <c r="E96" i="12" s="1"/>
  <c r="J96" i="12" s="1"/>
  <c r="H96" i="12"/>
  <c r="J95" i="12"/>
  <c r="I92" i="11" l="1"/>
  <c r="G92" i="11" s="1"/>
  <c r="A92" i="11"/>
  <c r="E92" i="11" s="1"/>
  <c r="J92" i="11" s="1"/>
  <c r="H92" i="11"/>
  <c r="C94" i="11"/>
  <c r="B93" i="11"/>
  <c r="F93" i="11"/>
  <c r="K93" i="11"/>
  <c r="C99" i="12"/>
  <c r="B98" i="12"/>
  <c r="K98" i="12"/>
  <c r="F98" i="12"/>
  <c r="H79" i="12"/>
  <c r="E79" i="12"/>
  <c r="D81" i="11"/>
  <c r="L80" i="11" s="1"/>
  <c r="L79" i="11"/>
  <c r="A97" i="12"/>
  <c r="L78" i="12"/>
  <c r="J79" i="11"/>
  <c r="K99" i="12" l="1"/>
  <c r="F99" i="12"/>
  <c r="B99" i="12"/>
  <c r="C100" i="12"/>
  <c r="C95" i="11"/>
  <c r="B94" i="11"/>
  <c r="K94" i="11"/>
  <c r="F94" i="11"/>
  <c r="D82" i="11"/>
  <c r="I79" i="12"/>
  <c r="G79" i="12" s="1"/>
  <c r="D80" i="12" s="1"/>
  <c r="A98" i="12"/>
  <c r="E98" i="12" s="1"/>
  <c r="J98" i="12" s="1"/>
  <c r="I98" i="12"/>
  <c r="G98" i="12" s="1"/>
  <c r="H98" i="12"/>
  <c r="A93" i="11"/>
  <c r="E93" i="11" s="1"/>
  <c r="I93" i="11"/>
  <c r="G93" i="11" s="1"/>
  <c r="H93" i="11"/>
  <c r="J79" i="12" l="1"/>
  <c r="H82" i="11"/>
  <c r="E82" i="11"/>
  <c r="A94" i="11"/>
  <c r="K100" i="12"/>
  <c r="F100" i="12"/>
  <c r="B100" i="12"/>
  <c r="C101" i="12"/>
  <c r="J93" i="11"/>
  <c r="D81" i="12"/>
  <c r="L80" i="12"/>
  <c r="L79" i="12"/>
  <c r="L81" i="11"/>
  <c r="C96" i="11"/>
  <c r="B95" i="11"/>
  <c r="K95" i="11"/>
  <c r="F95" i="11"/>
  <c r="A99" i="12"/>
  <c r="E99" i="12" s="1"/>
  <c r="H99" i="12"/>
  <c r="I99" i="12"/>
  <c r="G99" i="12" s="1"/>
  <c r="A95" i="11" l="1"/>
  <c r="E95" i="11" s="1"/>
  <c r="H95" i="11"/>
  <c r="I95" i="11"/>
  <c r="G95" i="11" s="1"/>
  <c r="J99" i="12"/>
  <c r="C97" i="11"/>
  <c r="F96" i="11"/>
  <c r="B96" i="11"/>
  <c r="K96" i="11"/>
  <c r="D82" i="12"/>
  <c r="L81" i="12" s="1"/>
  <c r="K101" i="12"/>
  <c r="F101" i="12"/>
  <c r="B101" i="12"/>
  <c r="C102" i="12"/>
  <c r="A100" i="12"/>
  <c r="J82" i="11"/>
  <c r="I82" i="11"/>
  <c r="G82" i="11" s="1"/>
  <c r="D83" i="11" s="1"/>
  <c r="H96" i="11" l="1"/>
  <c r="A96" i="11"/>
  <c r="E96" i="11" s="1"/>
  <c r="J96" i="11" s="1"/>
  <c r="I96" i="11"/>
  <c r="G96" i="11" s="1"/>
  <c r="D84" i="11"/>
  <c r="L83" i="11" s="1"/>
  <c r="L82" i="11"/>
  <c r="K102" i="12"/>
  <c r="F102" i="12"/>
  <c r="B102" i="12"/>
  <c r="C103" i="12"/>
  <c r="A101" i="12"/>
  <c r="E101" i="12" s="1"/>
  <c r="H101" i="12"/>
  <c r="I101" i="12"/>
  <c r="G101" i="12" s="1"/>
  <c r="H82" i="12"/>
  <c r="E82" i="12"/>
  <c r="C98" i="11"/>
  <c r="B97" i="11"/>
  <c r="K97" i="11"/>
  <c r="F97" i="11"/>
  <c r="J95" i="11"/>
  <c r="I82" i="12" l="1"/>
  <c r="G82" i="12" s="1"/>
  <c r="D83" i="12" s="1"/>
  <c r="J101" i="12"/>
  <c r="A102" i="12"/>
  <c r="E102" i="12" s="1"/>
  <c r="H102" i="12"/>
  <c r="I102" i="12"/>
  <c r="G102" i="12" s="1"/>
  <c r="A97" i="11"/>
  <c r="C99" i="11"/>
  <c r="F98" i="11"/>
  <c r="K98" i="11"/>
  <c r="B98" i="11"/>
  <c r="K103" i="12"/>
  <c r="F103" i="12"/>
  <c r="C104" i="12"/>
  <c r="B103" i="12"/>
  <c r="L84" i="11"/>
  <c r="D85" i="11"/>
  <c r="K104" i="12" l="1"/>
  <c r="B104" i="12"/>
  <c r="F104" i="12"/>
  <c r="C105" i="12"/>
  <c r="K99" i="11"/>
  <c r="F99" i="11"/>
  <c r="B99" i="11"/>
  <c r="C100" i="11"/>
  <c r="J102" i="12"/>
  <c r="D84" i="12"/>
  <c r="L83" i="12"/>
  <c r="L82" i="12"/>
  <c r="H85" i="11"/>
  <c r="E85" i="11"/>
  <c r="A103" i="12"/>
  <c r="A98" i="11"/>
  <c r="E98" i="11" s="1"/>
  <c r="J98" i="11" s="1"/>
  <c r="H98" i="11"/>
  <c r="I98" i="11"/>
  <c r="G98" i="11" s="1"/>
  <c r="J82" i="12"/>
  <c r="K100" i="11" l="1"/>
  <c r="F100" i="11"/>
  <c r="B100" i="11"/>
  <c r="C101" i="11"/>
  <c r="C106" i="12"/>
  <c r="F105" i="12"/>
  <c r="B105" i="12"/>
  <c r="K105" i="12"/>
  <c r="H104" i="12"/>
  <c r="A104" i="12"/>
  <c r="E104" i="12" s="1"/>
  <c r="I104" i="12"/>
  <c r="G104" i="12" s="1"/>
  <c r="I85" i="11"/>
  <c r="G85" i="11" s="1"/>
  <c r="D86" i="11" s="1"/>
  <c r="D85" i="12"/>
  <c r="A99" i="11"/>
  <c r="E99" i="11" s="1"/>
  <c r="H99" i="11"/>
  <c r="I99" i="11"/>
  <c r="G99" i="11" s="1"/>
  <c r="H85" i="12" l="1"/>
  <c r="E85" i="12"/>
  <c r="D87" i="11"/>
  <c r="L86" i="11"/>
  <c r="L85" i="11"/>
  <c r="H105" i="12"/>
  <c r="I105" i="12"/>
  <c r="G105" i="12" s="1"/>
  <c r="A105" i="12"/>
  <c r="E105" i="12" s="1"/>
  <c r="J105" i="12" s="1"/>
  <c r="C107" i="12"/>
  <c r="F106" i="12"/>
  <c r="B106" i="12"/>
  <c r="K106" i="12"/>
  <c r="A100" i="11"/>
  <c r="J99" i="11"/>
  <c r="L84" i="12"/>
  <c r="J85" i="11"/>
  <c r="J104" i="12"/>
  <c r="K101" i="11"/>
  <c r="B101" i="11"/>
  <c r="F101" i="11"/>
  <c r="C102" i="11"/>
  <c r="C103" i="11" l="1"/>
  <c r="F102" i="11"/>
  <c r="B102" i="11"/>
  <c r="K102" i="11"/>
  <c r="J85" i="12"/>
  <c r="I85" i="12"/>
  <c r="G85" i="12" s="1"/>
  <c r="D86" i="12" s="1"/>
  <c r="I101" i="11"/>
  <c r="G101" i="11" s="1"/>
  <c r="A101" i="11"/>
  <c r="E101" i="11" s="1"/>
  <c r="H101" i="11"/>
  <c r="A106" i="12"/>
  <c r="K107" i="12"/>
  <c r="F107" i="12"/>
  <c r="B107" i="12"/>
  <c r="C108" i="12"/>
  <c r="D88" i="11"/>
  <c r="H88" i="11" l="1"/>
  <c r="E88" i="11"/>
  <c r="L87" i="11"/>
  <c r="A107" i="12"/>
  <c r="E107" i="12" s="1"/>
  <c r="H107" i="12"/>
  <c r="I107" i="12"/>
  <c r="G107" i="12" s="1"/>
  <c r="J101" i="11"/>
  <c r="L86" i="12"/>
  <c r="D87" i="12"/>
  <c r="L85" i="12"/>
  <c r="K108" i="12"/>
  <c r="B108" i="12"/>
  <c r="F108" i="12"/>
  <c r="C109" i="12"/>
  <c r="I102" i="11"/>
  <c r="G102" i="11" s="1"/>
  <c r="A102" i="11"/>
  <c r="E102" i="11" s="1"/>
  <c r="H102" i="11"/>
  <c r="C104" i="11"/>
  <c r="F103" i="11"/>
  <c r="K103" i="11"/>
  <c r="B103" i="11"/>
  <c r="H108" i="12" l="1"/>
  <c r="A108" i="12"/>
  <c r="E108" i="12" s="1"/>
  <c r="J108" i="12" s="1"/>
  <c r="I108" i="12"/>
  <c r="G108" i="12" s="1"/>
  <c r="J107" i="12"/>
  <c r="I88" i="11"/>
  <c r="G88" i="11" s="1"/>
  <c r="D89" i="11" s="1"/>
  <c r="A103" i="11"/>
  <c r="C110" i="12"/>
  <c r="B109" i="12"/>
  <c r="F109" i="12"/>
  <c r="K109" i="12"/>
  <c r="C105" i="11"/>
  <c r="B104" i="11"/>
  <c r="K104" i="11"/>
  <c r="F104" i="11"/>
  <c r="J102" i="11"/>
  <c r="D88" i="12"/>
  <c r="H88" i="12" l="1"/>
  <c r="E88" i="12"/>
  <c r="L87" i="12"/>
  <c r="C106" i="11"/>
  <c r="F105" i="11"/>
  <c r="B105" i="11"/>
  <c r="K105" i="11"/>
  <c r="C111" i="12"/>
  <c r="F110" i="12"/>
  <c r="B110" i="12"/>
  <c r="K110" i="12"/>
  <c r="D90" i="11"/>
  <c r="L88" i="11"/>
  <c r="A104" i="11"/>
  <c r="E104" i="11" s="1"/>
  <c r="I104" i="11"/>
  <c r="G104" i="11" s="1"/>
  <c r="H104" i="11"/>
  <c r="A109" i="12"/>
  <c r="J88" i="11"/>
  <c r="A110" i="12" l="1"/>
  <c r="E110" i="12" s="1"/>
  <c r="H110" i="12"/>
  <c r="I110" i="12"/>
  <c r="G110" i="12" s="1"/>
  <c r="K111" i="12"/>
  <c r="B111" i="12"/>
  <c r="C112" i="12"/>
  <c r="F111" i="12"/>
  <c r="I105" i="11"/>
  <c r="G105" i="11" s="1"/>
  <c r="A105" i="11"/>
  <c r="E105" i="11" s="1"/>
  <c r="J105" i="11" s="1"/>
  <c r="H105" i="11"/>
  <c r="K106" i="11"/>
  <c r="F106" i="11"/>
  <c r="B106" i="11"/>
  <c r="C107" i="11"/>
  <c r="J88" i="12"/>
  <c r="I88" i="12"/>
  <c r="G88" i="12" s="1"/>
  <c r="D89" i="12" s="1"/>
  <c r="D91" i="11"/>
  <c r="L90" i="11"/>
  <c r="J104" i="11"/>
  <c r="L89" i="11"/>
  <c r="H91" i="11" l="1"/>
  <c r="E91" i="11"/>
  <c r="D90" i="12"/>
  <c r="L89" i="12"/>
  <c r="L88" i="12"/>
  <c r="K107" i="11"/>
  <c r="B107" i="11"/>
  <c r="F107" i="11"/>
  <c r="C108" i="11"/>
  <c r="C113" i="12"/>
  <c r="B112" i="12"/>
  <c r="F112" i="12"/>
  <c r="K112" i="12"/>
  <c r="A106" i="11"/>
  <c r="I111" i="12"/>
  <c r="G111" i="12" s="1"/>
  <c r="A111" i="12"/>
  <c r="E111" i="12" s="1"/>
  <c r="J111" i="12" s="1"/>
  <c r="H111" i="12"/>
  <c r="J110" i="12"/>
  <c r="C114" i="12" l="1"/>
  <c r="B113" i="12"/>
  <c r="K113" i="12"/>
  <c r="F113" i="12"/>
  <c r="I91" i="11"/>
  <c r="G91" i="11" s="1"/>
  <c r="D92" i="11" s="1"/>
  <c r="A112" i="12"/>
  <c r="K108" i="11"/>
  <c r="F108" i="11"/>
  <c r="C109" i="11"/>
  <c r="B108" i="11"/>
  <c r="H107" i="11"/>
  <c r="I107" i="11"/>
  <c r="G107" i="11" s="1"/>
  <c r="A107" i="11"/>
  <c r="E107" i="11" s="1"/>
  <c r="J107" i="11" s="1"/>
  <c r="D91" i="12"/>
  <c r="L90" i="12"/>
  <c r="K109" i="11" l="1"/>
  <c r="B109" i="11"/>
  <c r="F109" i="11"/>
  <c r="C110" i="11"/>
  <c r="H91" i="12"/>
  <c r="E91" i="12"/>
  <c r="A108" i="11"/>
  <c r="E108" i="11" s="1"/>
  <c r="I108" i="11"/>
  <c r="G108" i="11" s="1"/>
  <c r="H108" i="11"/>
  <c r="J91" i="11"/>
  <c r="C115" i="12"/>
  <c r="B114" i="12"/>
  <c r="K114" i="12"/>
  <c r="F114" i="12"/>
  <c r="L92" i="11"/>
  <c r="D93" i="11"/>
  <c r="L91" i="11"/>
  <c r="A113" i="12"/>
  <c r="E113" i="12" s="1"/>
  <c r="H113" i="12"/>
  <c r="I113" i="12"/>
  <c r="G113" i="12" s="1"/>
  <c r="A114" i="12" l="1"/>
  <c r="E114" i="12" s="1"/>
  <c r="H114" i="12"/>
  <c r="I114" i="12"/>
  <c r="G114" i="12" s="1"/>
  <c r="I91" i="12"/>
  <c r="G91" i="12" s="1"/>
  <c r="D92" i="12" s="1"/>
  <c r="C111" i="11"/>
  <c r="B110" i="11"/>
  <c r="K110" i="11"/>
  <c r="F110" i="11"/>
  <c r="A109" i="11"/>
  <c r="J113" i="12"/>
  <c r="D94" i="11"/>
  <c r="K115" i="12"/>
  <c r="F115" i="12"/>
  <c r="C116" i="12"/>
  <c r="B115" i="12"/>
  <c r="J108" i="11"/>
  <c r="A115" i="12" l="1"/>
  <c r="H94" i="11"/>
  <c r="E94" i="11"/>
  <c r="A110" i="11"/>
  <c r="E110" i="11" s="1"/>
  <c r="H110" i="11"/>
  <c r="I110" i="11"/>
  <c r="G110" i="11" s="1"/>
  <c r="K116" i="12"/>
  <c r="F116" i="12"/>
  <c r="C117" i="12"/>
  <c r="B116" i="12"/>
  <c r="L93" i="11"/>
  <c r="K111" i="11"/>
  <c r="B111" i="11"/>
  <c r="C112" i="11"/>
  <c r="F111" i="11"/>
  <c r="J91" i="12"/>
  <c r="D93" i="12"/>
  <c r="L91" i="12"/>
  <c r="J114" i="12"/>
  <c r="D94" i="12" l="1"/>
  <c r="L93" i="12" s="1"/>
  <c r="L92" i="12"/>
  <c r="C113" i="11"/>
  <c r="B112" i="11"/>
  <c r="F112" i="11"/>
  <c r="K112" i="11"/>
  <c r="A116" i="12"/>
  <c r="E116" i="12" s="1"/>
  <c r="I116" i="12"/>
  <c r="G116" i="12" s="1"/>
  <c r="H116" i="12"/>
  <c r="J110" i="11"/>
  <c r="H111" i="11"/>
  <c r="A111" i="11"/>
  <c r="E111" i="11" s="1"/>
  <c r="J111" i="11" s="1"/>
  <c r="I111" i="11"/>
  <c r="G111" i="11" s="1"/>
  <c r="K117" i="12"/>
  <c r="B117" i="12"/>
  <c r="F117" i="12"/>
  <c r="C118" i="12"/>
  <c r="I94" i="11"/>
  <c r="G94" i="11" s="1"/>
  <c r="D95" i="11" s="1"/>
  <c r="D96" i="11" l="1"/>
  <c r="L94" i="11"/>
  <c r="K118" i="12"/>
  <c r="F118" i="12"/>
  <c r="C119" i="12"/>
  <c r="B118" i="12"/>
  <c r="H117" i="12"/>
  <c r="I117" i="12"/>
  <c r="G117" i="12" s="1"/>
  <c r="A117" i="12"/>
  <c r="E117" i="12" s="1"/>
  <c r="J116" i="12"/>
  <c r="C114" i="11"/>
  <c r="F113" i="11"/>
  <c r="K113" i="11"/>
  <c r="B113" i="11"/>
  <c r="J94" i="11"/>
  <c r="A112" i="11"/>
  <c r="H94" i="12"/>
  <c r="E94" i="12"/>
  <c r="C115" i="11" l="1"/>
  <c r="B114" i="11"/>
  <c r="K114" i="11"/>
  <c r="F114" i="11"/>
  <c r="J117" i="12"/>
  <c r="C120" i="12"/>
  <c r="F119" i="12"/>
  <c r="B119" i="12"/>
  <c r="K119" i="12"/>
  <c r="L96" i="11"/>
  <c r="D97" i="11"/>
  <c r="J94" i="12"/>
  <c r="I94" i="12"/>
  <c r="G94" i="12" s="1"/>
  <c r="D95" i="12" s="1"/>
  <c r="A113" i="11"/>
  <c r="E113" i="11" s="1"/>
  <c r="J113" i="11" s="1"/>
  <c r="I113" i="11"/>
  <c r="G113" i="11" s="1"/>
  <c r="H113" i="11"/>
  <c r="A118" i="12"/>
  <c r="L95" i="11"/>
  <c r="D96" i="12" l="1"/>
  <c r="L95" i="12"/>
  <c r="L94" i="12"/>
  <c r="H97" i="11"/>
  <c r="E97" i="11"/>
  <c r="C116" i="11"/>
  <c r="B115" i="11"/>
  <c r="F115" i="11"/>
  <c r="K115" i="11"/>
  <c r="A119" i="12"/>
  <c r="E119" i="12" s="1"/>
  <c r="H119" i="12"/>
  <c r="I119" i="12"/>
  <c r="G119" i="12" s="1"/>
  <c r="K120" i="12"/>
  <c r="B120" i="12"/>
  <c r="C121" i="12"/>
  <c r="F120" i="12"/>
  <c r="H114" i="11"/>
  <c r="I114" i="11"/>
  <c r="G114" i="11" s="1"/>
  <c r="A114" i="11"/>
  <c r="E114" i="11" s="1"/>
  <c r="J114" i="11" s="1"/>
  <c r="C122" i="12" l="1"/>
  <c r="F121" i="12"/>
  <c r="B121" i="12"/>
  <c r="K121" i="12"/>
  <c r="A115" i="11"/>
  <c r="J97" i="11"/>
  <c r="I97" i="11"/>
  <c r="G97" i="11" s="1"/>
  <c r="D98" i="11" s="1"/>
  <c r="D97" i="12"/>
  <c r="A120" i="12"/>
  <c r="E120" i="12" s="1"/>
  <c r="J120" i="12" s="1"/>
  <c r="I120" i="12"/>
  <c r="G120" i="12" s="1"/>
  <c r="H120" i="12"/>
  <c r="J119" i="12"/>
  <c r="K116" i="11"/>
  <c r="B116" i="11"/>
  <c r="C117" i="11"/>
  <c r="F116" i="11"/>
  <c r="C118" i="11" l="1"/>
  <c r="B117" i="11"/>
  <c r="F117" i="11"/>
  <c r="K117" i="11"/>
  <c r="H97" i="12"/>
  <c r="E97" i="12"/>
  <c r="A116" i="11"/>
  <c r="E116" i="11" s="1"/>
  <c r="H116" i="11"/>
  <c r="I116" i="11"/>
  <c r="G116" i="11" s="1"/>
  <c r="L96" i="12"/>
  <c r="D99" i="11"/>
  <c r="L98" i="11"/>
  <c r="L97" i="11"/>
  <c r="A121" i="12"/>
  <c r="K122" i="12"/>
  <c r="F122" i="12"/>
  <c r="B122" i="12"/>
  <c r="C123" i="12"/>
  <c r="A122" i="12" l="1"/>
  <c r="E122" i="12" s="1"/>
  <c r="H122" i="12"/>
  <c r="I122" i="12"/>
  <c r="G122" i="12" s="1"/>
  <c r="I97" i="12"/>
  <c r="G97" i="12" s="1"/>
  <c r="D98" i="12" s="1"/>
  <c r="I117" i="11"/>
  <c r="G117" i="11" s="1"/>
  <c r="H117" i="11"/>
  <c r="A117" i="11"/>
  <c r="E117" i="11" s="1"/>
  <c r="J117" i="11" s="1"/>
  <c r="C124" i="12"/>
  <c r="F123" i="12"/>
  <c r="B123" i="12"/>
  <c r="K123" i="12"/>
  <c r="D100" i="11"/>
  <c r="J116" i="11"/>
  <c r="C119" i="11"/>
  <c r="B118" i="11"/>
  <c r="K118" i="11"/>
  <c r="F118" i="11"/>
  <c r="A118" i="11" l="1"/>
  <c r="H100" i="11"/>
  <c r="E100" i="11"/>
  <c r="I123" i="12"/>
  <c r="G123" i="12" s="1"/>
  <c r="A123" i="12"/>
  <c r="E123" i="12" s="1"/>
  <c r="H123" i="12"/>
  <c r="C125" i="12"/>
  <c r="F124" i="12"/>
  <c r="K124" i="12"/>
  <c r="B124" i="12"/>
  <c r="D99" i="12"/>
  <c r="L98" i="12"/>
  <c r="L97" i="12"/>
  <c r="C120" i="11"/>
  <c r="B119" i="11"/>
  <c r="F119" i="11"/>
  <c r="K119" i="11"/>
  <c r="L99" i="11"/>
  <c r="J97" i="12"/>
  <c r="J122" i="12"/>
  <c r="K120" i="11" l="1"/>
  <c r="F120" i="11"/>
  <c r="C121" i="11"/>
  <c r="B120" i="11"/>
  <c r="A124" i="12"/>
  <c r="H119" i="11"/>
  <c r="A119" i="11"/>
  <c r="E119" i="11" s="1"/>
  <c r="I119" i="11"/>
  <c r="G119" i="11" s="1"/>
  <c r="D100" i="12"/>
  <c r="L99" i="12"/>
  <c r="C126" i="12"/>
  <c r="F125" i="12"/>
  <c r="K125" i="12"/>
  <c r="B125" i="12"/>
  <c r="J123" i="12"/>
  <c r="J100" i="11"/>
  <c r="I100" i="11"/>
  <c r="G100" i="11" s="1"/>
  <c r="D101" i="11" s="1"/>
  <c r="A125" i="12" l="1"/>
  <c r="E125" i="12" s="1"/>
  <c r="H125" i="12"/>
  <c r="I125" i="12"/>
  <c r="G125" i="12" s="1"/>
  <c r="A120" i="11"/>
  <c r="E120" i="11" s="1"/>
  <c r="H120" i="11"/>
  <c r="I120" i="11"/>
  <c r="G120" i="11" s="1"/>
  <c r="D102" i="11"/>
  <c r="L100" i="11"/>
  <c r="K126" i="12"/>
  <c r="B126" i="12"/>
  <c r="C127" i="12"/>
  <c r="F126" i="12"/>
  <c r="H100" i="12"/>
  <c r="E100" i="12"/>
  <c r="J119" i="11"/>
  <c r="K121" i="11"/>
  <c r="B121" i="11"/>
  <c r="F121" i="11"/>
  <c r="C122" i="11"/>
  <c r="C128" i="12" l="1"/>
  <c r="F127" i="12"/>
  <c r="K127" i="12"/>
  <c r="B127" i="12"/>
  <c r="D103" i="11"/>
  <c r="J120" i="11"/>
  <c r="K122" i="11"/>
  <c r="F122" i="11"/>
  <c r="B122" i="11"/>
  <c r="C123" i="11"/>
  <c r="A121" i="11"/>
  <c r="I100" i="12"/>
  <c r="G100" i="12" s="1"/>
  <c r="D101" i="12" s="1"/>
  <c r="I126" i="12"/>
  <c r="G126" i="12" s="1"/>
  <c r="A126" i="12"/>
  <c r="E126" i="12" s="1"/>
  <c r="J126" i="12" s="1"/>
  <c r="H126" i="12"/>
  <c r="L101" i="11"/>
  <c r="J125" i="12"/>
  <c r="D102" i="12" l="1"/>
  <c r="L101" i="12"/>
  <c r="L100" i="12"/>
  <c r="A122" i="11"/>
  <c r="E122" i="11" s="1"/>
  <c r="J122" i="11" s="1"/>
  <c r="I122" i="11"/>
  <c r="G122" i="11" s="1"/>
  <c r="H122" i="11"/>
  <c r="H103" i="11"/>
  <c r="E103" i="11"/>
  <c r="A127" i="12"/>
  <c r="J100" i="12"/>
  <c r="K123" i="11"/>
  <c r="F123" i="11"/>
  <c r="B123" i="11"/>
  <c r="C124" i="11"/>
  <c r="L102" i="11"/>
  <c r="C129" i="12"/>
  <c r="B128" i="12"/>
  <c r="F128" i="12"/>
  <c r="K128" i="12"/>
  <c r="H128" i="12" l="1"/>
  <c r="I128" i="12"/>
  <c r="G128" i="12" s="1"/>
  <c r="A128" i="12"/>
  <c r="E128" i="12" s="1"/>
  <c r="H123" i="11"/>
  <c r="A123" i="11"/>
  <c r="E123" i="11" s="1"/>
  <c r="I123" i="11"/>
  <c r="G123" i="11" s="1"/>
  <c r="I103" i="11"/>
  <c r="G103" i="11" s="1"/>
  <c r="D104" i="11" s="1"/>
  <c r="K129" i="12"/>
  <c r="F129" i="12"/>
  <c r="C130" i="12"/>
  <c r="B129" i="12"/>
  <c r="C125" i="11"/>
  <c r="B124" i="11"/>
  <c r="K124" i="11"/>
  <c r="F124" i="11"/>
  <c r="D103" i="12"/>
  <c r="H103" i="12" l="1"/>
  <c r="E103" i="12"/>
  <c r="A124" i="11"/>
  <c r="A129" i="12"/>
  <c r="E129" i="12" s="1"/>
  <c r="J129" i="12" s="1"/>
  <c r="I129" i="12"/>
  <c r="G129" i="12" s="1"/>
  <c r="H129" i="12"/>
  <c r="D105" i="11"/>
  <c r="L104" i="11"/>
  <c r="L103" i="11"/>
  <c r="L102" i="12"/>
  <c r="K125" i="11"/>
  <c r="B125" i="11"/>
  <c r="F125" i="11"/>
  <c r="C126" i="11"/>
  <c r="K130" i="12"/>
  <c r="F130" i="12"/>
  <c r="C131" i="12"/>
  <c r="B130" i="12"/>
  <c r="J103" i="11"/>
  <c r="J123" i="11"/>
  <c r="J128" i="12"/>
  <c r="A130" i="12" l="1"/>
  <c r="K126" i="11"/>
  <c r="B126" i="11"/>
  <c r="C127" i="11"/>
  <c r="F126" i="11"/>
  <c r="H125" i="11"/>
  <c r="I125" i="11"/>
  <c r="G125" i="11" s="1"/>
  <c r="A125" i="11"/>
  <c r="E125" i="11" s="1"/>
  <c r="J125" i="11" s="1"/>
  <c r="I103" i="12"/>
  <c r="G103" i="12" s="1"/>
  <c r="D104" i="12" s="1"/>
  <c r="C132" i="12"/>
  <c r="F131" i="12"/>
  <c r="K131" i="12"/>
  <c r="B131" i="12"/>
  <c r="D106" i="11"/>
  <c r="H106" i="11" l="1"/>
  <c r="E106" i="11"/>
  <c r="A131" i="12"/>
  <c r="E131" i="12" s="1"/>
  <c r="H131" i="12"/>
  <c r="I131" i="12"/>
  <c r="G131" i="12" s="1"/>
  <c r="L104" i="12"/>
  <c r="D105" i="12"/>
  <c r="L103" i="12"/>
  <c r="C128" i="11"/>
  <c r="B127" i="11"/>
  <c r="K127" i="11"/>
  <c r="F127" i="11"/>
  <c r="L105" i="11"/>
  <c r="K132" i="12"/>
  <c r="B132" i="12"/>
  <c r="C133" i="12"/>
  <c r="F132" i="12"/>
  <c r="J103" i="12"/>
  <c r="I126" i="11"/>
  <c r="G126" i="11" s="1"/>
  <c r="A126" i="11"/>
  <c r="E126" i="11" s="1"/>
  <c r="J126" i="11" s="1"/>
  <c r="H126" i="11"/>
  <c r="K133" i="12" l="1"/>
  <c r="B133" i="12"/>
  <c r="F133" i="12"/>
  <c r="C134" i="12"/>
  <c r="A127" i="11"/>
  <c r="J106" i="11"/>
  <c r="I106" i="11"/>
  <c r="G106" i="11" s="1"/>
  <c r="D107" i="11" s="1"/>
  <c r="A132" i="12"/>
  <c r="E132" i="12" s="1"/>
  <c r="J132" i="12" s="1"/>
  <c r="I132" i="12"/>
  <c r="G132" i="12" s="1"/>
  <c r="H132" i="12"/>
  <c r="C129" i="11"/>
  <c r="F128" i="11"/>
  <c r="K128" i="11"/>
  <c r="B128" i="11"/>
  <c r="D106" i="12"/>
  <c r="J131" i="12"/>
  <c r="H106" i="12" l="1"/>
  <c r="E106" i="12"/>
  <c r="A128" i="11"/>
  <c r="E128" i="11" s="1"/>
  <c r="H128" i="11"/>
  <c r="I128" i="11"/>
  <c r="G128" i="11" s="1"/>
  <c r="C135" i="12"/>
  <c r="B134" i="12"/>
  <c r="K134" i="12"/>
  <c r="F134" i="12"/>
  <c r="A133" i="12"/>
  <c r="L105" i="12"/>
  <c r="C130" i="11"/>
  <c r="F129" i="11"/>
  <c r="K129" i="11"/>
  <c r="B129" i="11"/>
  <c r="L107" i="11"/>
  <c r="D108" i="11"/>
  <c r="L106" i="11"/>
  <c r="K130" i="11" l="1"/>
  <c r="B130" i="11"/>
  <c r="C131" i="11"/>
  <c r="F130" i="11"/>
  <c r="K135" i="12"/>
  <c r="F135" i="12"/>
  <c r="C136" i="12"/>
  <c r="B135" i="12"/>
  <c r="J106" i="12"/>
  <c r="I106" i="12"/>
  <c r="G106" i="12" s="1"/>
  <c r="D107" i="12" s="1"/>
  <c r="L108" i="11"/>
  <c r="D109" i="11"/>
  <c r="A129" i="11"/>
  <c r="E129" i="11" s="1"/>
  <c r="H129" i="11"/>
  <c r="I129" i="11"/>
  <c r="G129" i="11" s="1"/>
  <c r="H134" i="12"/>
  <c r="A134" i="12"/>
  <c r="E134" i="12" s="1"/>
  <c r="J134" i="12" s="1"/>
  <c r="I134" i="12"/>
  <c r="G134" i="12" s="1"/>
  <c r="J128" i="11"/>
  <c r="J129" i="11" l="1"/>
  <c r="K136" i="12"/>
  <c r="F136" i="12"/>
  <c r="B136" i="12"/>
  <c r="C137" i="12"/>
  <c r="A130" i="11"/>
  <c r="H109" i="11"/>
  <c r="E109" i="11"/>
  <c r="D108" i="12"/>
  <c r="L107" i="12"/>
  <c r="L106" i="12"/>
  <c r="H135" i="12"/>
  <c r="I135" i="12"/>
  <c r="G135" i="12" s="1"/>
  <c r="A135" i="12"/>
  <c r="E135" i="12" s="1"/>
  <c r="J135" i="12" s="1"/>
  <c r="K131" i="11"/>
  <c r="B131" i="11"/>
  <c r="F131" i="11"/>
  <c r="C132" i="11"/>
  <c r="K132" i="11" l="1"/>
  <c r="B132" i="11"/>
  <c r="C133" i="11"/>
  <c r="F132" i="11"/>
  <c r="I131" i="11"/>
  <c r="G131" i="11" s="1"/>
  <c r="H131" i="11"/>
  <c r="A131" i="11"/>
  <c r="E131" i="11" s="1"/>
  <c r="J131" i="11" s="1"/>
  <c r="J109" i="11"/>
  <c r="I109" i="11"/>
  <c r="G109" i="11" s="1"/>
  <c r="D110" i="11" s="1"/>
  <c r="A136" i="12"/>
  <c r="D109" i="12"/>
  <c r="C138" i="12"/>
  <c r="F137" i="12"/>
  <c r="B137" i="12"/>
  <c r="K137" i="12"/>
  <c r="A137" i="12" l="1"/>
  <c r="E137" i="12" s="1"/>
  <c r="H137" i="12"/>
  <c r="I137" i="12"/>
  <c r="G137" i="12" s="1"/>
  <c r="C139" i="12"/>
  <c r="F138" i="12"/>
  <c r="B138" i="12"/>
  <c r="K138" i="12"/>
  <c r="H109" i="12"/>
  <c r="E109" i="12"/>
  <c r="A132" i="11"/>
  <c r="E132" i="11" s="1"/>
  <c r="H132" i="11"/>
  <c r="I132" i="11"/>
  <c r="G132" i="11" s="1"/>
  <c r="L108" i="12"/>
  <c r="D111" i="11"/>
  <c r="L110" i="11"/>
  <c r="L109" i="11"/>
  <c r="K133" i="11"/>
  <c r="B133" i="11"/>
  <c r="F133" i="11"/>
  <c r="C134" i="11"/>
  <c r="J132" i="11" l="1"/>
  <c r="I138" i="12"/>
  <c r="G138" i="12" s="1"/>
  <c r="H138" i="12"/>
  <c r="A138" i="12"/>
  <c r="E138" i="12" s="1"/>
  <c r="J138" i="12" s="1"/>
  <c r="C140" i="12"/>
  <c r="B139" i="12"/>
  <c r="K139" i="12"/>
  <c r="F139" i="12"/>
  <c r="C135" i="11"/>
  <c r="F134" i="11"/>
  <c r="B134" i="11"/>
  <c r="K134" i="11"/>
  <c r="A133" i="11"/>
  <c r="L111" i="11"/>
  <c r="D112" i="11"/>
  <c r="J109" i="12"/>
  <c r="I109" i="12"/>
  <c r="G109" i="12" s="1"/>
  <c r="D110" i="12" s="1"/>
  <c r="J137" i="12"/>
  <c r="A139" i="12" l="1"/>
  <c r="D111" i="12"/>
  <c r="L109" i="12"/>
  <c r="H112" i="11"/>
  <c r="E112" i="11"/>
  <c r="A134" i="11"/>
  <c r="E134" i="11" s="1"/>
  <c r="H134" i="11"/>
  <c r="I134" i="11"/>
  <c r="G134" i="11" s="1"/>
  <c r="K135" i="11"/>
  <c r="B135" i="11"/>
  <c r="C136" i="11"/>
  <c r="F135" i="11"/>
  <c r="K140" i="12"/>
  <c r="F140" i="12"/>
  <c r="C141" i="12"/>
  <c r="B140" i="12"/>
  <c r="A140" i="12" l="1"/>
  <c r="E140" i="12" s="1"/>
  <c r="I140" i="12"/>
  <c r="G140" i="12" s="1"/>
  <c r="H140" i="12"/>
  <c r="A135" i="11"/>
  <c r="E135" i="11" s="1"/>
  <c r="J135" i="11" s="1"/>
  <c r="I135" i="11"/>
  <c r="G135" i="11" s="1"/>
  <c r="H135" i="11"/>
  <c r="J134" i="11"/>
  <c r="J112" i="11"/>
  <c r="I112" i="11"/>
  <c r="G112" i="11" s="1"/>
  <c r="D113" i="11" s="1"/>
  <c r="D112" i="12"/>
  <c r="C142" i="12"/>
  <c r="F141" i="12"/>
  <c r="B141" i="12"/>
  <c r="K141" i="12"/>
  <c r="K136" i="11"/>
  <c r="F136" i="11"/>
  <c r="B136" i="11"/>
  <c r="C137" i="11"/>
  <c r="L110" i="12"/>
  <c r="A136" i="11" l="1"/>
  <c r="A141" i="12"/>
  <c r="E141" i="12" s="1"/>
  <c r="J141" i="12" s="1"/>
  <c r="I141" i="12"/>
  <c r="G141" i="12" s="1"/>
  <c r="H141" i="12"/>
  <c r="C143" i="12"/>
  <c r="F142" i="12"/>
  <c r="B142" i="12"/>
  <c r="K142" i="12"/>
  <c r="H112" i="12"/>
  <c r="E112" i="12"/>
  <c r="C138" i="11"/>
  <c r="B137" i="11"/>
  <c r="K137" i="11"/>
  <c r="F137" i="11"/>
  <c r="L111" i="12"/>
  <c r="L113" i="11"/>
  <c r="D114" i="11"/>
  <c r="L112" i="11"/>
  <c r="J140" i="12"/>
  <c r="H137" i="11" l="1"/>
  <c r="I137" i="11"/>
  <c r="G137" i="11" s="1"/>
  <c r="A137" i="11"/>
  <c r="E137" i="11" s="1"/>
  <c r="J112" i="12"/>
  <c r="I112" i="12"/>
  <c r="G112" i="12" s="1"/>
  <c r="D113" i="12" s="1"/>
  <c r="L114" i="11"/>
  <c r="D115" i="11"/>
  <c r="C139" i="11"/>
  <c r="F138" i="11"/>
  <c r="B138" i="11"/>
  <c r="K138" i="11"/>
  <c r="A142" i="12"/>
  <c r="K143" i="12"/>
  <c r="B143" i="12"/>
  <c r="F143" i="12"/>
  <c r="C144" i="12"/>
  <c r="C145" i="12" l="1"/>
  <c r="F144" i="12"/>
  <c r="K144" i="12"/>
  <c r="B144" i="12"/>
  <c r="A143" i="12"/>
  <c r="E143" i="12" s="1"/>
  <c r="H143" i="12"/>
  <c r="I143" i="12"/>
  <c r="G143" i="12" s="1"/>
  <c r="I138" i="11"/>
  <c r="G138" i="11" s="1"/>
  <c r="A138" i="11"/>
  <c r="E138" i="11" s="1"/>
  <c r="J138" i="11" s="1"/>
  <c r="H138" i="11"/>
  <c r="K139" i="11"/>
  <c r="B139" i="11"/>
  <c r="C140" i="11"/>
  <c r="F139" i="11"/>
  <c r="H115" i="11"/>
  <c r="E115" i="11"/>
  <c r="D114" i="12"/>
  <c r="L112" i="12"/>
  <c r="J137" i="11"/>
  <c r="D115" i="12" l="1"/>
  <c r="L114" i="12"/>
  <c r="C141" i="11"/>
  <c r="B140" i="11"/>
  <c r="K140" i="11"/>
  <c r="F140" i="11"/>
  <c r="I144" i="12"/>
  <c r="G144" i="12" s="1"/>
  <c r="A144" i="12"/>
  <c r="E144" i="12" s="1"/>
  <c r="J144" i="12" s="1"/>
  <c r="H144" i="12"/>
  <c r="L113" i="12"/>
  <c r="I115" i="11"/>
  <c r="G115" i="11" s="1"/>
  <c r="D116" i="11" s="1"/>
  <c r="A139" i="11"/>
  <c r="J143" i="12"/>
  <c r="K145" i="12"/>
  <c r="F145" i="12"/>
  <c r="B145" i="12"/>
  <c r="C146" i="12"/>
  <c r="K146" i="12" l="1"/>
  <c r="F146" i="12"/>
  <c r="B146" i="12"/>
  <c r="C147" i="12"/>
  <c r="D117" i="11"/>
  <c r="L116" i="11"/>
  <c r="L115" i="11"/>
  <c r="I140" i="11"/>
  <c r="G140" i="11" s="1"/>
  <c r="A140" i="11"/>
  <c r="E140" i="11" s="1"/>
  <c r="H140" i="11"/>
  <c r="A145" i="12"/>
  <c r="J115" i="11"/>
  <c r="K141" i="11"/>
  <c r="F141" i="11"/>
  <c r="B141" i="11"/>
  <c r="C142" i="11"/>
  <c r="H115" i="12"/>
  <c r="E115" i="12"/>
  <c r="A141" i="11" l="1"/>
  <c r="E141" i="11" s="1"/>
  <c r="H141" i="11"/>
  <c r="I141" i="11"/>
  <c r="G141" i="11" s="1"/>
  <c r="C148" i="12"/>
  <c r="F147" i="12"/>
  <c r="B147" i="12"/>
  <c r="K147" i="12"/>
  <c r="I115" i="12"/>
  <c r="G115" i="12" s="1"/>
  <c r="D116" i="12" s="1"/>
  <c r="C143" i="11"/>
  <c r="F142" i="11"/>
  <c r="K142" i="11"/>
  <c r="B142" i="11"/>
  <c r="J140" i="11"/>
  <c r="D118" i="11"/>
  <c r="A146" i="12"/>
  <c r="E146" i="12" s="1"/>
  <c r="H146" i="12"/>
  <c r="I146" i="12"/>
  <c r="G146" i="12" s="1"/>
  <c r="J146" i="12" l="1"/>
  <c r="H118" i="11"/>
  <c r="E118" i="11"/>
  <c r="A142" i="11"/>
  <c r="D117" i="12"/>
  <c r="L116" i="12"/>
  <c r="L115" i="12"/>
  <c r="L117" i="11"/>
  <c r="K143" i="11"/>
  <c r="B143" i="11"/>
  <c r="C144" i="11"/>
  <c r="F143" i="11"/>
  <c r="J115" i="12"/>
  <c r="A147" i="12"/>
  <c r="E147" i="12" s="1"/>
  <c r="J147" i="12" s="1"/>
  <c r="I147" i="12"/>
  <c r="G147" i="12" s="1"/>
  <c r="H147" i="12"/>
  <c r="C149" i="12"/>
  <c r="F148" i="12"/>
  <c r="K148" i="12"/>
  <c r="B148" i="12"/>
  <c r="J141" i="11"/>
  <c r="A148" i="12" l="1"/>
  <c r="I143" i="11"/>
  <c r="G143" i="11" s="1"/>
  <c r="A143" i="11"/>
  <c r="E143" i="11" s="1"/>
  <c r="H143" i="11"/>
  <c r="K149" i="12"/>
  <c r="F149" i="12"/>
  <c r="C150" i="12"/>
  <c r="B149" i="12"/>
  <c r="C145" i="11"/>
  <c r="F144" i="11"/>
  <c r="K144" i="11"/>
  <c r="B144" i="11"/>
  <c r="D118" i="12"/>
  <c r="J118" i="11"/>
  <c r="I118" i="11"/>
  <c r="G118" i="11" s="1"/>
  <c r="D119" i="11" s="1"/>
  <c r="H118" i="12" l="1"/>
  <c r="E118" i="12"/>
  <c r="C146" i="11"/>
  <c r="B145" i="11"/>
  <c r="K145" i="11"/>
  <c r="F145" i="11"/>
  <c r="C151" i="12"/>
  <c r="B150" i="12"/>
  <c r="K150" i="12"/>
  <c r="F150" i="12"/>
  <c r="D120" i="11"/>
  <c r="L119" i="11"/>
  <c r="L118" i="11"/>
  <c r="L117" i="12"/>
  <c r="I144" i="11"/>
  <c r="G144" i="11" s="1"/>
  <c r="H144" i="11"/>
  <c r="A144" i="11"/>
  <c r="E144" i="11" s="1"/>
  <c r="J144" i="11" s="1"/>
  <c r="A149" i="12"/>
  <c r="E149" i="12" s="1"/>
  <c r="J149" i="12" s="1"/>
  <c r="I149" i="12"/>
  <c r="G149" i="12" s="1"/>
  <c r="H149" i="12"/>
  <c r="J143" i="11"/>
  <c r="H150" i="12" l="1"/>
  <c r="I150" i="12"/>
  <c r="G150" i="12" s="1"/>
  <c r="A150" i="12"/>
  <c r="E150" i="12" s="1"/>
  <c r="A145" i="11"/>
  <c r="I118" i="12"/>
  <c r="G118" i="12" s="1"/>
  <c r="D119" i="12" s="1"/>
  <c r="D121" i="11"/>
  <c r="L120" i="11"/>
  <c r="C152" i="12"/>
  <c r="F151" i="12"/>
  <c r="K151" i="12"/>
  <c r="B151" i="12"/>
  <c r="K146" i="11"/>
  <c r="F146" i="11"/>
  <c r="B146" i="11"/>
  <c r="C147" i="11"/>
  <c r="C148" i="11" l="1"/>
  <c r="F147" i="11"/>
  <c r="B147" i="11"/>
  <c r="K147" i="11"/>
  <c r="D120" i="12"/>
  <c r="L119" i="12" s="1"/>
  <c r="L118" i="12"/>
  <c r="A151" i="12"/>
  <c r="A146" i="11"/>
  <c r="E146" i="11" s="1"/>
  <c r="H146" i="11"/>
  <c r="I146" i="11"/>
  <c r="G146" i="11" s="1"/>
  <c r="C153" i="12"/>
  <c r="B152" i="12"/>
  <c r="F152" i="12"/>
  <c r="K152" i="12"/>
  <c r="H121" i="11"/>
  <c r="E121" i="11"/>
  <c r="J118" i="12"/>
  <c r="J150" i="12"/>
  <c r="H152" i="12" l="1"/>
  <c r="A152" i="12"/>
  <c r="E152" i="12" s="1"/>
  <c r="J152" i="12" s="1"/>
  <c r="I152" i="12"/>
  <c r="G152" i="12" s="1"/>
  <c r="J146" i="11"/>
  <c r="J121" i="11"/>
  <c r="I121" i="11"/>
  <c r="G121" i="11" s="1"/>
  <c r="D122" i="11" s="1"/>
  <c r="K153" i="12"/>
  <c r="F153" i="12"/>
  <c r="B153" i="12"/>
  <c r="C154" i="12"/>
  <c r="L120" i="12"/>
  <c r="D121" i="12"/>
  <c r="I147" i="11"/>
  <c r="G147" i="11" s="1"/>
  <c r="A147" i="11"/>
  <c r="E147" i="11" s="1"/>
  <c r="H147" i="11"/>
  <c r="C149" i="11"/>
  <c r="B148" i="11"/>
  <c r="K148" i="11"/>
  <c r="F148" i="11"/>
  <c r="A148" i="11" l="1"/>
  <c r="A153" i="12"/>
  <c r="E153" i="12" s="1"/>
  <c r="H153" i="12"/>
  <c r="I153" i="12"/>
  <c r="G153" i="12" s="1"/>
  <c r="C150" i="11"/>
  <c r="B149" i="11"/>
  <c r="K149" i="11"/>
  <c r="F149" i="11"/>
  <c r="J147" i="11"/>
  <c r="H121" i="12"/>
  <c r="E121" i="12"/>
  <c r="K154" i="12"/>
  <c r="F154" i="12"/>
  <c r="C155" i="12"/>
  <c r="B154" i="12"/>
  <c r="D123" i="11"/>
  <c r="L122" i="11"/>
  <c r="L121" i="11"/>
  <c r="D124" i="11" l="1"/>
  <c r="L123" i="11" s="1"/>
  <c r="K155" i="12"/>
  <c r="F155" i="12"/>
  <c r="B155" i="12"/>
  <c r="C156" i="12"/>
  <c r="A149" i="11"/>
  <c r="E149" i="11" s="1"/>
  <c r="J149" i="11" s="1"/>
  <c r="H149" i="11"/>
  <c r="I149" i="11"/>
  <c r="G149" i="11" s="1"/>
  <c r="J153" i="12"/>
  <c r="A154" i="12"/>
  <c r="I121" i="12"/>
  <c r="G121" i="12" s="1"/>
  <c r="D122" i="12" s="1"/>
  <c r="C151" i="11"/>
  <c r="B150" i="11"/>
  <c r="K150" i="11"/>
  <c r="F150" i="11"/>
  <c r="A150" i="11" l="1"/>
  <c r="E150" i="11" s="1"/>
  <c r="H150" i="11"/>
  <c r="I150" i="11"/>
  <c r="G150" i="11" s="1"/>
  <c r="C152" i="11"/>
  <c r="B151" i="11"/>
  <c r="K151" i="11"/>
  <c r="F151" i="11"/>
  <c r="J121" i="12"/>
  <c r="K156" i="12"/>
  <c r="B156" i="12"/>
  <c r="F156" i="12"/>
  <c r="C157" i="12"/>
  <c r="D123" i="12"/>
  <c r="L122" i="12"/>
  <c r="L121" i="12"/>
  <c r="A155" i="12"/>
  <c r="E155" i="12" s="1"/>
  <c r="J155" i="12" s="1"/>
  <c r="I155" i="12"/>
  <c r="G155" i="12" s="1"/>
  <c r="H155" i="12"/>
  <c r="H124" i="11"/>
  <c r="E124" i="11"/>
  <c r="I124" i="11" l="1"/>
  <c r="G124" i="11" s="1"/>
  <c r="D125" i="11" s="1"/>
  <c r="D124" i="12"/>
  <c r="L123" i="12"/>
  <c r="A151" i="11"/>
  <c r="C158" i="12"/>
  <c r="B157" i="12"/>
  <c r="K157" i="12"/>
  <c r="F157" i="12"/>
  <c r="H156" i="12"/>
  <c r="A156" i="12"/>
  <c r="E156" i="12" s="1"/>
  <c r="J156" i="12" s="1"/>
  <c r="I156" i="12"/>
  <c r="G156" i="12" s="1"/>
  <c r="K152" i="11"/>
  <c r="F152" i="11"/>
  <c r="B152" i="11"/>
  <c r="C153" i="11"/>
  <c r="J150" i="11"/>
  <c r="K153" i="11" l="1"/>
  <c r="F153" i="11"/>
  <c r="B153" i="11"/>
  <c r="C154" i="11"/>
  <c r="K158" i="12"/>
  <c r="F158" i="12"/>
  <c r="B158" i="12"/>
  <c r="C159" i="12"/>
  <c r="D126" i="11"/>
  <c r="L125" i="11" s="1"/>
  <c r="L124" i="11"/>
  <c r="A152" i="11"/>
  <c r="E152" i="11" s="1"/>
  <c r="H152" i="11"/>
  <c r="I152" i="11"/>
  <c r="G152" i="11" s="1"/>
  <c r="A157" i="12"/>
  <c r="H124" i="12"/>
  <c r="E124" i="12"/>
  <c r="J124" i="11"/>
  <c r="I124" i="12" l="1"/>
  <c r="G124" i="12" s="1"/>
  <c r="D125" i="12" s="1"/>
  <c r="J152" i="11"/>
  <c r="K159" i="12"/>
  <c r="B159" i="12"/>
  <c r="C160" i="12"/>
  <c r="F159" i="12"/>
  <c r="C155" i="11"/>
  <c r="F154" i="11"/>
  <c r="K154" i="11"/>
  <c r="B154" i="11"/>
  <c r="L126" i="11"/>
  <c r="D127" i="11"/>
  <c r="A158" i="12"/>
  <c r="E158" i="12" s="1"/>
  <c r="J158" i="12" s="1"/>
  <c r="H158" i="12"/>
  <c r="I158" i="12"/>
  <c r="G158" i="12" s="1"/>
  <c r="A153" i="11"/>
  <c r="E153" i="11" s="1"/>
  <c r="H153" i="11"/>
  <c r="I153" i="11"/>
  <c r="G153" i="11" s="1"/>
  <c r="J153" i="11" l="1"/>
  <c r="H127" i="11"/>
  <c r="E127" i="11"/>
  <c r="C156" i="11"/>
  <c r="B155" i="11"/>
  <c r="F155" i="11"/>
  <c r="K155" i="11"/>
  <c r="C161" i="12"/>
  <c r="B160" i="12"/>
  <c r="K160" i="12"/>
  <c r="F160" i="12"/>
  <c r="D126" i="12"/>
  <c r="L125" i="12"/>
  <c r="L124" i="12"/>
  <c r="A154" i="11"/>
  <c r="A159" i="12"/>
  <c r="E159" i="12" s="1"/>
  <c r="I159" i="12"/>
  <c r="G159" i="12" s="1"/>
  <c r="H159" i="12"/>
  <c r="J124" i="12"/>
  <c r="J159" i="12" l="1"/>
  <c r="D127" i="12"/>
  <c r="L126" i="12" s="1"/>
  <c r="C162" i="12"/>
  <c r="F161" i="12"/>
  <c r="K161" i="12"/>
  <c r="B161" i="12"/>
  <c r="C157" i="11"/>
  <c r="B156" i="11"/>
  <c r="F156" i="11"/>
  <c r="K156" i="11"/>
  <c r="A160" i="12"/>
  <c r="I155" i="11"/>
  <c r="G155" i="11" s="1"/>
  <c r="A155" i="11"/>
  <c r="E155" i="11" s="1"/>
  <c r="H155" i="11"/>
  <c r="I127" i="11"/>
  <c r="G127" i="11" s="1"/>
  <c r="D128" i="11" s="1"/>
  <c r="D129" i="11" l="1"/>
  <c r="L127" i="11"/>
  <c r="A156" i="11"/>
  <c r="E156" i="11" s="1"/>
  <c r="H156" i="11"/>
  <c r="I156" i="11"/>
  <c r="G156" i="11" s="1"/>
  <c r="A161" i="12"/>
  <c r="E161" i="12" s="1"/>
  <c r="H161" i="12"/>
  <c r="I161" i="12"/>
  <c r="G161" i="12" s="1"/>
  <c r="J127" i="11"/>
  <c r="J155" i="11"/>
  <c r="K157" i="11"/>
  <c r="B157" i="11"/>
  <c r="C158" i="11"/>
  <c r="F157" i="11"/>
  <c r="C163" i="12"/>
  <c r="F162" i="12"/>
  <c r="B162" i="12"/>
  <c r="K162" i="12"/>
  <c r="H127" i="12"/>
  <c r="E127" i="12"/>
  <c r="A157" i="11" l="1"/>
  <c r="J161" i="12"/>
  <c r="D130" i="11"/>
  <c r="L129" i="11"/>
  <c r="I127" i="12"/>
  <c r="G127" i="12" s="1"/>
  <c r="D128" i="12" s="1"/>
  <c r="I162" i="12"/>
  <c r="G162" i="12" s="1"/>
  <c r="H162" i="12"/>
  <c r="A162" i="12"/>
  <c r="E162" i="12" s="1"/>
  <c r="J162" i="12" s="1"/>
  <c r="C164" i="12"/>
  <c r="F163" i="12"/>
  <c r="K163" i="12"/>
  <c r="B163" i="12"/>
  <c r="C159" i="11"/>
  <c r="B158" i="11"/>
  <c r="K158" i="11"/>
  <c r="F158" i="11"/>
  <c r="J156" i="11"/>
  <c r="L128" i="11"/>
  <c r="A158" i="11" l="1"/>
  <c r="E158" i="11" s="1"/>
  <c r="H158" i="11"/>
  <c r="I158" i="11"/>
  <c r="G158" i="11" s="1"/>
  <c r="K159" i="11"/>
  <c r="B159" i="11"/>
  <c r="C160" i="11"/>
  <c r="F159" i="11"/>
  <c r="K164" i="12"/>
  <c r="B164" i="12"/>
  <c r="C165" i="12"/>
  <c r="F164" i="12"/>
  <c r="D129" i="12"/>
  <c r="L128" i="12"/>
  <c r="L127" i="12"/>
  <c r="A163" i="12"/>
  <c r="J127" i="12"/>
  <c r="H130" i="11"/>
  <c r="E130" i="11"/>
  <c r="I130" i="11" l="1"/>
  <c r="G130" i="11" s="1"/>
  <c r="D131" i="11" s="1"/>
  <c r="A164" i="12"/>
  <c r="E164" i="12" s="1"/>
  <c r="J164" i="12" s="1"/>
  <c r="I164" i="12"/>
  <c r="G164" i="12" s="1"/>
  <c r="H164" i="12"/>
  <c r="D130" i="12"/>
  <c r="L129" i="12"/>
  <c r="K165" i="12"/>
  <c r="B165" i="12"/>
  <c r="C166" i="12"/>
  <c r="F165" i="12"/>
  <c r="K160" i="11"/>
  <c r="B160" i="11"/>
  <c r="C161" i="11"/>
  <c r="F160" i="11"/>
  <c r="I159" i="11"/>
  <c r="G159" i="11" s="1"/>
  <c r="A159" i="11"/>
  <c r="E159" i="11" s="1"/>
  <c r="H159" i="11"/>
  <c r="J158" i="11"/>
  <c r="J159" i="11" l="1"/>
  <c r="K161" i="11"/>
  <c r="F161" i="11"/>
  <c r="B161" i="11"/>
  <c r="C162" i="11"/>
  <c r="C167" i="12"/>
  <c r="B166" i="12"/>
  <c r="F166" i="12"/>
  <c r="K166" i="12"/>
  <c r="H130" i="12"/>
  <c r="E130" i="12"/>
  <c r="D132" i="11"/>
  <c r="L130" i="11"/>
  <c r="A160" i="11"/>
  <c r="I165" i="12"/>
  <c r="G165" i="12" s="1"/>
  <c r="A165" i="12"/>
  <c r="E165" i="12" s="1"/>
  <c r="H165" i="12"/>
  <c r="J130" i="11"/>
  <c r="D133" i="11" l="1"/>
  <c r="C168" i="12"/>
  <c r="F167" i="12"/>
  <c r="B167" i="12"/>
  <c r="K167" i="12"/>
  <c r="A161" i="11"/>
  <c r="E161" i="11" s="1"/>
  <c r="H161" i="11"/>
  <c r="I161" i="11"/>
  <c r="G161" i="11" s="1"/>
  <c r="J165" i="12"/>
  <c r="L131" i="11"/>
  <c r="I130" i="12"/>
  <c r="G130" i="12" s="1"/>
  <c r="D131" i="12" s="1"/>
  <c r="A166" i="12"/>
  <c r="K162" i="11"/>
  <c r="F162" i="11"/>
  <c r="B162" i="11"/>
  <c r="C163" i="11"/>
  <c r="D132" i="12" l="1"/>
  <c r="L131" i="12" s="1"/>
  <c r="L130" i="12"/>
  <c r="H133" i="11"/>
  <c r="E133" i="11"/>
  <c r="A162" i="11"/>
  <c r="E162" i="11" s="1"/>
  <c r="H162" i="11"/>
  <c r="I162" i="11"/>
  <c r="G162" i="11" s="1"/>
  <c r="C164" i="11"/>
  <c r="B163" i="11"/>
  <c r="F163" i="11"/>
  <c r="K163" i="11"/>
  <c r="J130" i="12"/>
  <c r="J161" i="11"/>
  <c r="A167" i="12"/>
  <c r="E167" i="12" s="1"/>
  <c r="J167" i="12" s="1"/>
  <c r="H167" i="12"/>
  <c r="I167" i="12"/>
  <c r="G167" i="12" s="1"/>
  <c r="C169" i="12"/>
  <c r="F168" i="12"/>
  <c r="B168" i="12"/>
  <c r="K168" i="12"/>
  <c r="L132" i="11"/>
  <c r="A163" i="11" l="1"/>
  <c r="J162" i="11"/>
  <c r="H168" i="12"/>
  <c r="A168" i="12"/>
  <c r="E168" i="12" s="1"/>
  <c r="I168" i="12"/>
  <c r="G168" i="12" s="1"/>
  <c r="C170" i="12"/>
  <c r="B169" i="12"/>
  <c r="F169" i="12"/>
  <c r="K169" i="12"/>
  <c r="K164" i="11"/>
  <c r="F164" i="11"/>
  <c r="B164" i="11"/>
  <c r="C165" i="11"/>
  <c r="I133" i="11"/>
  <c r="G133" i="11" s="1"/>
  <c r="D134" i="11" s="1"/>
  <c r="D133" i="12"/>
  <c r="L132" i="12"/>
  <c r="C166" i="11" l="1"/>
  <c r="B165" i="11"/>
  <c r="K165" i="11"/>
  <c r="F165" i="11"/>
  <c r="H133" i="12"/>
  <c r="E133" i="12"/>
  <c r="J133" i="11"/>
  <c r="A164" i="11"/>
  <c r="E164" i="11" s="1"/>
  <c r="H164" i="11"/>
  <c r="I164" i="11"/>
  <c r="G164" i="11" s="1"/>
  <c r="C171" i="12"/>
  <c r="F170" i="12"/>
  <c r="K170" i="12"/>
  <c r="B170" i="12"/>
  <c r="J168" i="12"/>
  <c r="D135" i="11"/>
  <c r="L133" i="11"/>
  <c r="A169" i="12"/>
  <c r="D136" i="11" l="1"/>
  <c r="L135" i="11" s="1"/>
  <c r="J164" i="11"/>
  <c r="I133" i="12"/>
  <c r="G133" i="12" s="1"/>
  <c r="D134" i="12" s="1"/>
  <c r="I165" i="11"/>
  <c r="G165" i="11" s="1"/>
  <c r="A165" i="11"/>
  <c r="E165" i="11" s="1"/>
  <c r="J165" i="11" s="1"/>
  <c r="H165" i="11"/>
  <c r="A170" i="12"/>
  <c r="E170" i="12" s="1"/>
  <c r="J170" i="12" s="1"/>
  <c r="H170" i="12"/>
  <c r="I170" i="12"/>
  <c r="G170" i="12" s="1"/>
  <c r="L134" i="11"/>
  <c r="K171" i="12"/>
  <c r="F171" i="12"/>
  <c r="C172" i="12"/>
  <c r="B171" i="12"/>
  <c r="K166" i="11"/>
  <c r="B166" i="11"/>
  <c r="F166" i="11"/>
  <c r="C167" i="11"/>
  <c r="A166" i="11" l="1"/>
  <c r="K172" i="12"/>
  <c r="B172" i="12"/>
  <c r="F172" i="12"/>
  <c r="C173" i="12"/>
  <c r="J133" i="12"/>
  <c r="K167" i="11"/>
  <c r="F167" i="11"/>
  <c r="C168" i="11"/>
  <c r="B167" i="11"/>
  <c r="A171" i="12"/>
  <c r="E171" i="12" s="1"/>
  <c r="J171" i="12" s="1"/>
  <c r="H171" i="12"/>
  <c r="I171" i="12"/>
  <c r="G171" i="12" s="1"/>
  <c r="D135" i="12"/>
  <c r="L134" i="12"/>
  <c r="L133" i="12"/>
  <c r="H136" i="11"/>
  <c r="E136" i="11"/>
  <c r="C169" i="11" l="1"/>
  <c r="B168" i="11"/>
  <c r="K168" i="11"/>
  <c r="F168" i="11"/>
  <c r="I136" i="11"/>
  <c r="G136" i="11" s="1"/>
  <c r="D137" i="11" s="1"/>
  <c r="D136" i="12"/>
  <c r="L135" i="12"/>
  <c r="A167" i="11"/>
  <c r="E167" i="11" s="1"/>
  <c r="J167" i="11" s="1"/>
  <c r="I167" i="11"/>
  <c r="G167" i="11" s="1"/>
  <c r="H167" i="11"/>
  <c r="K173" i="12"/>
  <c r="B173" i="12"/>
  <c r="C174" i="12"/>
  <c r="F173" i="12"/>
  <c r="A172" i="12"/>
  <c r="K174" i="12" l="1"/>
  <c r="B174" i="12"/>
  <c r="C175" i="12"/>
  <c r="F174" i="12"/>
  <c r="D138" i="11"/>
  <c r="L137" i="11"/>
  <c r="L136" i="11"/>
  <c r="H168" i="11"/>
  <c r="I168" i="11"/>
  <c r="G168" i="11" s="1"/>
  <c r="A168" i="11"/>
  <c r="E168" i="11" s="1"/>
  <c r="J168" i="11" s="1"/>
  <c r="A173" i="12"/>
  <c r="E173" i="12" s="1"/>
  <c r="I173" i="12"/>
  <c r="G173" i="12" s="1"/>
  <c r="H173" i="12"/>
  <c r="H136" i="12"/>
  <c r="E136" i="12"/>
  <c r="J136" i="11"/>
  <c r="K169" i="11"/>
  <c r="F169" i="11"/>
  <c r="C170" i="11"/>
  <c r="B169" i="11"/>
  <c r="C171" i="11" l="1"/>
  <c r="B170" i="11"/>
  <c r="K170" i="11"/>
  <c r="F170" i="11"/>
  <c r="I136" i="12"/>
  <c r="G136" i="12" s="1"/>
  <c r="D137" i="12" s="1"/>
  <c r="J173" i="12"/>
  <c r="D139" i="11"/>
  <c r="C176" i="12"/>
  <c r="B175" i="12"/>
  <c r="K175" i="12"/>
  <c r="F175" i="12"/>
  <c r="A169" i="11"/>
  <c r="I174" i="12"/>
  <c r="G174" i="12" s="1"/>
  <c r="A174" i="12"/>
  <c r="E174" i="12" s="1"/>
  <c r="J174" i="12" s="1"/>
  <c r="H174" i="12"/>
  <c r="K176" i="12" l="1"/>
  <c r="B176" i="12"/>
  <c r="C177" i="12"/>
  <c r="F176" i="12"/>
  <c r="H139" i="11"/>
  <c r="E139" i="11"/>
  <c r="D138" i="12"/>
  <c r="L137" i="12"/>
  <c r="L136" i="12"/>
  <c r="A170" i="11"/>
  <c r="E170" i="11" s="1"/>
  <c r="J170" i="11" s="1"/>
  <c r="H170" i="11"/>
  <c r="I170" i="11"/>
  <c r="G170" i="11" s="1"/>
  <c r="A175" i="12"/>
  <c r="L138" i="11"/>
  <c r="J136" i="12"/>
  <c r="K171" i="11"/>
  <c r="B171" i="11"/>
  <c r="C172" i="11"/>
  <c r="F171" i="11"/>
  <c r="I171" i="11" l="1"/>
  <c r="G171" i="11" s="1"/>
  <c r="A171" i="11"/>
  <c r="E171" i="11" s="1"/>
  <c r="J171" i="11" s="1"/>
  <c r="H171" i="11"/>
  <c r="D139" i="12"/>
  <c r="L138" i="12" s="1"/>
  <c r="K177" i="12"/>
  <c r="F177" i="12"/>
  <c r="B177" i="12"/>
  <c r="C178" i="12"/>
  <c r="C173" i="11"/>
  <c r="B172" i="11"/>
  <c r="K172" i="11"/>
  <c r="F172" i="11"/>
  <c r="I139" i="11"/>
  <c r="G139" i="11" s="1"/>
  <c r="D140" i="11" s="1"/>
  <c r="A176" i="12"/>
  <c r="E176" i="12" s="1"/>
  <c r="J176" i="12" s="1"/>
  <c r="H176" i="12"/>
  <c r="I176" i="12"/>
  <c r="G176" i="12" s="1"/>
  <c r="D141" i="11" l="1"/>
  <c r="L139" i="11"/>
  <c r="A172" i="11"/>
  <c r="K178" i="12"/>
  <c r="B178" i="12"/>
  <c r="F178" i="12"/>
  <c r="C179" i="12"/>
  <c r="J139" i="11"/>
  <c r="C174" i="11"/>
  <c r="F173" i="11"/>
  <c r="K173" i="11"/>
  <c r="B173" i="11"/>
  <c r="A177" i="12"/>
  <c r="E177" i="12" s="1"/>
  <c r="J177" i="12" s="1"/>
  <c r="I177" i="12"/>
  <c r="G177" i="12" s="1"/>
  <c r="H177" i="12"/>
  <c r="H139" i="12"/>
  <c r="E139" i="12"/>
  <c r="I139" i="12" l="1"/>
  <c r="G139" i="12" s="1"/>
  <c r="D140" i="12" s="1"/>
  <c r="A178" i="12"/>
  <c r="L141" i="11"/>
  <c r="D142" i="11"/>
  <c r="K174" i="11"/>
  <c r="F174" i="11"/>
  <c r="C175" i="11"/>
  <c r="B174" i="11"/>
  <c r="C180" i="12"/>
  <c r="B179" i="12"/>
  <c r="F179" i="12"/>
  <c r="K179" i="12"/>
  <c r="A173" i="11"/>
  <c r="E173" i="11" s="1"/>
  <c r="J173" i="11" s="1"/>
  <c r="H173" i="11"/>
  <c r="I173" i="11"/>
  <c r="G173" i="11" s="1"/>
  <c r="L140" i="11"/>
  <c r="H179" i="12" l="1"/>
  <c r="I179" i="12"/>
  <c r="G179" i="12" s="1"/>
  <c r="A179" i="12"/>
  <c r="E179" i="12" s="1"/>
  <c r="J179" i="12" s="1"/>
  <c r="A174" i="11"/>
  <c r="E174" i="11" s="1"/>
  <c r="J174" i="11" s="1"/>
  <c r="I174" i="11"/>
  <c r="G174" i="11" s="1"/>
  <c r="H174" i="11"/>
  <c r="H142" i="11"/>
  <c r="E142" i="11"/>
  <c r="D141" i="12"/>
  <c r="L140" i="12"/>
  <c r="L139" i="12"/>
  <c r="K180" i="12"/>
  <c r="F180" i="12"/>
  <c r="C181" i="12"/>
  <c r="B180" i="12"/>
  <c r="C176" i="11"/>
  <c r="B175" i="11"/>
  <c r="K175" i="11"/>
  <c r="F175" i="11"/>
  <c r="J139" i="12"/>
  <c r="C177" i="11" l="1"/>
  <c r="F176" i="11"/>
  <c r="B176" i="11"/>
  <c r="K176" i="11"/>
  <c r="K181" i="12"/>
  <c r="F181" i="12"/>
  <c r="C182" i="12"/>
  <c r="B181" i="12"/>
  <c r="I142" i="11"/>
  <c r="G142" i="11" s="1"/>
  <c r="D143" i="11" s="1"/>
  <c r="A175" i="11"/>
  <c r="A180" i="12"/>
  <c r="E180" i="12" s="1"/>
  <c r="J180" i="12" s="1"/>
  <c r="I180" i="12"/>
  <c r="G180" i="12" s="1"/>
  <c r="H180" i="12"/>
  <c r="D142" i="12"/>
  <c r="L143" i="11" l="1"/>
  <c r="D144" i="11"/>
  <c r="L142" i="11"/>
  <c r="A181" i="12"/>
  <c r="H142" i="12"/>
  <c r="E142" i="12"/>
  <c r="L141" i="12"/>
  <c r="J142" i="11"/>
  <c r="K182" i="12"/>
  <c r="F182" i="12"/>
  <c r="C183" i="12"/>
  <c r="B182" i="12"/>
  <c r="A176" i="11"/>
  <c r="E176" i="11" s="1"/>
  <c r="J176" i="11" s="1"/>
  <c r="I176" i="11"/>
  <c r="G176" i="11" s="1"/>
  <c r="H176" i="11"/>
  <c r="C178" i="11"/>
  <c r="B177" i="11"/>
  <c r="F177" i="11"/>
  <c r="K177" i="11"/>
  <c r="C184" i="12" l="1"/>
  <c r="B183" i="12"/>
  <c r="K183" i="12"/>
  <c r="F183" i="12"/>
  <c r="I142" i="12"/>
  <c r="G142" i="12" s="1"/>
  <c r="D143" i="12" s="1"/>
  <c r="L144" i="11"/>
  <c r="D145" i="11"/>
  <c r="A177" i="11"/>
  <c r="E177" i="11" s="1"/>
  <c r="J177" i="11" s="1"/>
  <c r="I177" i="11"/>
  <c r="G177" i="11" s="1"/>
  <c r="H177" i="11"/>
  <c r="C179" i="11"/>
  <c r="F178" i="11"/>
  <c r="B178" i="11"/>
  <c r="K178" i="11"/>
  <c r="A182" i="12"/>
  <c r="E182" i="12" s="1"/>
  <c r="J182" i="12" s="1"/>
  <c r="H182" i="12"/>
  <c r="I182" i="12"/>
  <c r="G182" i="12" s="1"/>
  <c r="D144" i="12" l="1"/>
  <c r="L143" i="12" s="1"/>
  <c r="L142" i="12"/>
  <c r="I183" i="12"/>
  <c r="G183" i="12" s="1"/>
  <c r="A183" i="12"/>
  <c r="E183" i="12" s="1"/>
  <c r="J183" i="12" s="1"/>
  <c r="H183" i="12"/>
  <c r="A178" i="11"/>
  <c r="K179" i="11"/>
  <c r="F179" i="11"/>
  <c r="B179" i="11"/>
  <c r="C180" i="11"/>
  <c r="H145" i="11"/>
  <c r="E145" i="11"/>
  <c r="J142" i="12"/>
  <c r="K184" i="12"/>
  <c r="F184" i="12"/>
  <c r="B184" i="12"/>
  <c r="C185" i="12"/>
  <c r="A184" i="12" l="1"/>
  <c r="K180" i="11"/>
  <c r="F180" i="11"/>
  <c r="C181" i="11"/>
  <c r="B180" i="11"/>
  <c r="K185" i="12"/>
  <c r="B185" i="12"/>
  <c r="F185" i="12"/>
  <c r="C186" i="12"/>
  <c r="A179" i="11"/>
  <c r="E179" i="11" s="1"/>
  <c r="I179" i="11"/>
  <c r="G179" i="11" s="1"/>
  <c r="H179" i="11"/>
  <c r="J145" i="11"/>
  <c r="I145" i="11"/>
  <c r="G145" i="11" s="1"/>
  <c r="D146" i="11" s="1"/>
  <c r="D145" i="12"/>
  <c r="L144" i="12"/>
  <c r="K186" i="12" l="1"/>
  <c r="F186" i="12"/>
  <c r="C187" i="12"/>
  <c r="B186" i="12"/>
  <c r="H145" i="12"/>
  <c r="E145" i="12"/>
  <c r="D147" i="11"/>
  <c r="L146" i="11"/>
  <c r="L145" i="11"/>
  <c r="J179" i="11"/>
  <c r="K181" i="11"/>
  <c r="B181" i="11"/>
  <c r="C182" i="11"/>
  <c r="F181" i="11"/>
  <c r="H185" i="12"/>
  <c r="I185" i="12"/>
  <c r="G185" i="12" s="1"/>
  <c r="A185" i="12"/>
  <c r="E185" i="12" s="1"/>
  <c r="A180" i="11"/>
  <c r="E180" i="11" s="1"/>
  <c r="J180" i="11" s="1"/>
  <c r="I180" i="11"/>
  <c r="G180" i="11" s="1"/>
  <c r="H180" i="11"/>
  <c r="A181" i="11" l="1"/>
  <c r="I145" i="12"/>
  <c r="G145" i="12" s="1"/>
  <c r="D146" i="12" s="1"/>
  <c r="I186" i="12"/>
  <c r="G186" i="12" s="1"/>
  <c r="A186" i="12"/>
  <c r="E186" i="12" s="1"/>
  <c r="J186" i="12" s="1"/>
  <c r="H186" i="12"/>
  <c r="J185" i="12"/>
  <c r="K182" i="11"/>
  <c r="F182" i="11"/>
  <c r="C183" i="11"/>
  <c r="B182" i="11"/>
  <c r="D148" i="11"/>
  <c r="L147" i="11"/>
  <c r="C188" i="12"/>
  <c r="B187" i="12"/>
  <c r="K187" i="12"/>
  <c r="F187" i="12"/>
  <c r="A187" i="12" l="1"/>
  <c r="K188" i="12"/>
  <c r="B188" i="12"/>
  <c r="C189" i="12"/>
  <c r="F188" i="12"/>
  <c r="H148" i="11"/>
  <c r="E148" i="11"/>
  <c r="K183" i="11"/>
  <c r="B183" i="11"/>
  <c r="C184" i="11"/>
  <c r="F183" i="11"/>
  <c r="J145" i="12"/>
  <c r="A182" i="11"/>
  <c r="E182" i="11" s="1"/>
  <c r="J182" i="11" s="1"/>
  <c r="H182" i="11"/>
  <c r="I182" i="11"/>
  <c r="G182" i="11" s="1"/>
  <c r="D147" i="12"/>
  <c r="L146" i="12"/>
  <c r="L145" i="12"/>
  <c r="I148" i="11" l="1"/>
  <c r="G148" i="11" s="1"/>
  <c r="D149" i="11" s="1"/>
  <c r="D148" i="12"/>
  <c r="L147" i="12"/>
  <c r="K184" i="11"/>
  <c r="F184" i="11"/>
  <c r="C185" i="11"/>
  <c r="B184" i="11"/>
  <c r="C190" i="12"/>
  <c r="B189" i="12"/>
  <c r="K189" i="12"/>
  <c r="F189" i="12"/>
  <c r="I183" i="11"/>
  <c r="G183" i="11" s="1"/>
  <c r="H183" i="11"/>
  <c r="A183" i="11"/>
  <c r="E183" i="11" s="1"/>
  <c r="J183" i="11" s="1"/>
  <c r="A188" i="12"/>
  <c r="E188" i="12" s="1"/>
  <c r="J188" i="12" s="1"/>
  <c r="I188" i="12"/>
  <c r="G188" i="12" s="1"/>
  <c r="H188" i="12"/>
  <c r="I189" i="12" l="1"/>
  <c r="G189" i="12" s="1"/>
  <c r="A189" i="12"/>
  <c r="E189" i="12" s="1"/>
  <c r="J189" i="12" s="1"/>
  <c r="H189" i="12"/>
  <c r="A184" i="11"/>
  <c r="D150" i="11"/>
  <c r="L149" i="11"/>
  <c r="L148" i="11"/>
  <c r="K190" i="12"/>
  <c r="B190" i="12"/>
  <c r="C191" i="12"/>
  <c r="F190" i="12"/>
  <c r="C186" i="11"/>
  <c r="F185" i="11"/>
  <c r="K185" i="11"/>
  <c r="B185" i="11"/>
  <c r="H148" i="12"/>
  <c r="E148" i="12"/>
  <c r="J148" i="11"/>
  <c r="K186" i="11" l="1"/>
  <c r="F186" i="11"/>
  <c r="C187" i="11"/>
  <c r="B186" i="11"/>
  <c r="C192" i="12"/>
  <c r="B191" i="12"/>
  <c r="F191" i="12"/>
  <c r="K191" i="12"/>
  <c r="J148" i="12"/>
  <c r="I148" i="12"/>
  <c r="G148" i="12" s="1"/>
  <c r="D149" i="12" s="1"/>
  <c r="A185" i="11"/>
  <c r="E185" i="11" s="1"/>
  <c r="H185" i="11"/>
  <c r="I185" i="11"/>
  <c r="G185" i="11" s="1"/>
  <c r="A190" i="12"/>
  <c r="D151" i="11"/>
  <c r="J185" i="11" l="1"/>
  <c r="I191" i="12"/>
  <c r="G191" i="12" s="1"/>
  <c r="A191" i="12"/>
  <c r="E191" i="12" s="1"/>
  <c r="J191" i="12" s="1"/>
  <c r="H191" i="12"/>
  <c r="H186" i="11"/>
  <c r="A186" i="11"/>
  <c r="E186" i="11" s="1"/>
  <c r="J186" i="11" s="1"/>
  <c r="I186" i="11"/>
  <c r="G186" i="11" s="1"/>
  <c r="H151" i="11"/>
  <c r="E151" i="11"/>
  <c r="L150" i="11"/>
  <c r="D150" i="12"/>
  <c r="L149" i="12"/>
  <c r="L148" i="12"/>
  <c r="K192" i="12"/>
  <c r="F192" i="12"/>
  <c r="B192" i="12"/>
  <c r="C193" i="12"/>
  <c r="C188" i="11"/>
  <c r="B187" i="11"/>
  <c r="K187" i="11"/>
  <c r="F187" i="11"/>
  <c r="A187" i="11" l="1"/>
  <c r="K193" i="12"/>
  <c r="F193" i="12"/>
  <c r="B193" i="12"/>
  <c r="C194" i="12"/>
  <c r="D151" i="12"/>
  <c r="K188" i="11"/>
  <c r="F188" i="11"/>
  <c r="C189" i="11"/>
  <c r="B188" i="11"/>
  <c r="A192" i="12"/>
  <c r="E192" i="12" s="1"/>
  <c r="J192" i="12" s="1"/>
  <c r="H192" i="12"/>
  <c r="I192" i="12"/>
  <c r="G192" i="12" s="1"/>
  <c r="I151" i="11"/>
  <c r="G151" i="11" s="1"/>
  <c r="D152" i="11" s="1"/>
  <c r="K189" i="11" l="1"/>
  <c r="F189" i="11"/>
  <c r="C190" i="11"/>
  <c r="B189" i="11"/>
  <c r="H151" i="12"/>
  <c r="E151" i="12"/>
  <c r="A193" i="12"/>
  <c r="D153" i="11"/>
  <c r="L152" i="11"/>
  <c r="L151" i="11"/>
  <c r="J151" i="11"/>
  <c r="A188" i="11"/>
  <c r="E188" i="11" s="1"/>
  <c r="J188" i="11" s="1"/>
  <c r="I188" i="11"/>
  <c r="G188" i="11" s="1"/>
  <c r="H188" i="11"/>
  <c r="L150" i="12"/>
  <c r="C195" i="12"/>
  <c r="B194" i="12"/>
  <c r="K194" i="12"/>
  <c r="F194" i="12"/>
  <c r="K195" i="12" l="1"/>
  <c r="B195" i="12"/>
  <c r="C196" i="12"/>
  <c r="F195" i="12"/>
  <c r="D154" i="11"/>
  <c r="L153" i="11"/>
  <c r="I151" i="12"/>
  <c r="G151" i="12" s="1"/>
  <c r="D152" i="12" s="1"/>
  <c r="I189" i="11"/>
  <c r="G189" i="11" s="1"/>
  <c r="A189" i="11"/>
  <c r="E189" i="11" s="1"/>
  <c r="J189" i="11" s="1"/>
  <c r="H189" i="11"/>
  <c r="A194" i="12"/>
  <c r="E194" i="12" s="1"/>
  <c r="J194" i="12" s="1"/>
  <c r="H194" i="12"/>
  <c r="I194" i="12"/>
  <c r="G194" i="12" s="1"/>
  <c r="K190" i="11"/>
  <c r="F190" i="11"/>
  <c r="C191" i="11"/>
  <c r="B190" i="11"/>
  <c r="D153" i="12" l="1"/>
  <c r="L151" i="12"/>
  <c r="A195" i="12"/>
  <c r="E195" i="12" s="1"/>
  <c r="J195" i="12" s="1"/>
  <c r="I195" i="12"/>
  <c r="G195" i="12" s="1"/>
  <c r="H195" i="12"/>
  <c r="K191" i="11"/>
  <c r="F191" i="11"/>
  <c r="C192" i="11"/>
  <c r="B191" i="11"/>
  <c r="A190" i="11"/>
  <c r="J151" i="12"/>
  <c r="H154" i="11"/>
  <c r="E154" i="11"/>
  <c r="C197" i="12"/>
  <c r="B196" i="12"/>
  <c r="F196" i="12"/>
  <c r="K196" i="12"/>
  <c r="A191" i="11" l="1"/>
  <c r="E191" i="11" s="1"/>
  <c r="H191" i="11"/>
  <c r="I191" i="11"/>
  <c r="G191" i="11" s="1"/>
  <c r="D154" i="12"/>
  <c r="L153" i="12"/>
  <c r="A196" i="12"/>
  <c r="I154" i="11"/>
  <c r="G154" i="11" s="1"/>
  <c r="D155" i="11" s="1"/>
  <c r="K197" i="12"/>
  <c r="F197" i="12"/>
  <c r="C198" i="12"/>
  <c r="B197" i="12"/>
  <c r="C193" i="11"/>
  <c r="F192" i="11"/>
  <c r="B192" i="11"/>
  <c r="K192" i="11"/>
  <c r="L152" i="12"/>
  <c r="A192" i="11" l="1"/>
  <c r="E192" i="11" s="1"/>
  <c r="J192" i="11" s="1"/>
  <c r="I192" i="11"/>
  <c r="G192" i="11" s="1"/>
  <c r="H192" i="11"/>
  <c r="C194" i="11"/>
  <c r="B193" i="11"/>
  <c r="F193" i="11"/>
  <c r="K193" i="11"/>
  <c r="C199" i="12"/>
  <c r="B198" i="12"/>
  <c r="F198" i="12"/>
  <c r="K198" i="12"/>
  <c r="J154" i="11"/>
  <c r="J191" i="11"/>
  <c r="A197" i="12"/>
  <c r="E197" i="12" s="1"/>
  <c r="H197" i="12"/>
  <c r="I197" i="12"/>
  <c r="G197" i="12" s="1"/>
  <c r="L155" i="11"/>
  <c r="D156" i="11"/>
  <c r="L154" i="11"/>
  <c r="H154" i="12"/>
  <c r="E154" i="12"/>
  <c r="I154" i="12" l="1"/>
  <c r="G154" i="12" s="1"/>
  <c r="D155" i="12" s="1"/>
  <c r="D157" i="11"/>
  <c r="J197" i="12"/>
  <c r="K199" i="12"/>
  <c r="F199" i="12"/>
  <c r="C200" i="12"/>
  <c r="B199" i="12"/>
  <c r="C195" i="11"/>
  <c r="B194" i="11"/>
  <c r="F194" i="11"/>
  <c r="K194" i="11"/>
  <c r="I198" i="12"/>
  <c r="G198" i="12" s="1"/>
  <c r="A198" i="12"/>
  <c r="E198" i="12" s="1"/>
  <c r="J198" i="12" s="1"/>
  <c r="H198" i="12"/>
  <c r="A193" i="11"/>
  <c r="H194" i="11" l="1"/>
  <c r="I194" i="11"/>
  <c r="G194" i="11" s="1"/>
  <c r="A194" i="11"/>
  <c r="E194" i="11" s="1"/>
  <c r="J194" i="11" s="1"/>
  <c r="C196" i="11"/>
  <c r="B195" i="11"/>
  <c r="K195" i="11"/>
  <c r="F195" i="11"/>
  <c r="K200" i="12"/>
  <c r="F200" i="12"/>
  <c r="B200" i="12"/>
  <c r="C201" i="12"/>
  <c r="H157" i="11"/>
  <c r="E157" i="11"/>
  <c r="D156" i="12"/>
  <c r="L155" i="12"/>
  <c r="L154" i="12"/>
  <c r="A199" i="12"/>
  <c r="L156" i="11"/>
  <c r="J154" i="12"/>
  <c r="D157" i="12" l="1"/>
  <c r="L156" i="12" s="1"/>
  <c r="A200" i="12"/>
  <c r="E200" i="12" s="1"/>
  <c r="H200" i="12"/>
  <c r="I200" i="12"/>
  <c r="G200" i="12" s="1"/>
  <c r="C197" i="11"/>
  <c r="B196" i="11"/>
  <c r="F196" i="11"/>
  <c r="K196" i="11"/>
  <c r="I157" i="11"/>
  <c r="G157" i="11" s="1"/>
  <c r="D158" i="11" s="1"/>
  <c r="C202" i="12"/>
  <c r="F201" i="12"/>
  <c r="K201" i="12"/>
  <c r="B201" i="12"/>
  <c r="H195" i="11"/>
  <c r="I195" i="11"/>
  <c r="G195" i="11" s="1"/>
  <c r="A195" i="11"/>
  <c r="E195" i="11" s="1"/>
  <c r="A196" i="11" l="1"/>
  <c r="J200" i="12"/>
  <c r="H201" i="12"/>
  <c r="A201" i="12"/>
  <c r="E201" i="12" s="1"/>
  <c r="I201" i="12"/>
  <c r="G201" i="12" s="1"/>
  <c r="D159" i="11"/>
  <c r="L158" i="11"/>
  <c r="L157" i="11"/>
  <c r="J195" i="11"/>
  <c r="C203" i="12"/>
  <c r="B202" i="12"/>
  <c r="F202" i="12"/>
  <c r="K202" i="12"/>
  <c r="J157" i="11"/>
  <c r="K197" i="11"/>
  <c r="B197" i="11"/>
  <c r="F197" i="11"/>
  <c r="C198" i="11"/>
  <c r="H157" i="12"/>
  <c r="E157" i="12"/>
  <c r="I157" i="12" l="1"/>
  <c r="G157" i="12" s="1"/>
  <c r="D158" i="12" s="1"/>
  <c r="K198" i="11"/>
  <c r="B198" i="11"/>
  <c r="F198" i="11"/>
  <c r="C199" i="11"/>
  <c r="I197" i="11"/>
  <c r="G197" i="11" s="1"/>
  <c r="A197" i="11"/>
  <c r="E197" i="11" s="1"/>
  <c r="J197" i="11" s="1"/>
  <c r="H197" i="11"/>
  <c r="K203" i="12"/>
  <c r="B203" i="12"/>
  <c r="C204" i="12"/>
  <c r="F203" i="12"/>
  <c r="L159" i="11"/>
  <c r="D160" i="11"/>
  <c r="J201" i="12"/>
  <c r="A202" i="12"/>
  <c r="K204" i="12" l="1"/>
  <c r="F204" i="12"/>
  <c r="C205" i="12"/>
  <c r="B204" i="12"/>
  <c r="C200" i="11"/>
  <c r="F199" i="11"/>
  <c r="K199" i="11"/>
  <c r="B199" i="11"/>
  <c r="A198" i="11"/>
  <c r="E198" i="11" s="1"/>
  <c r="I198" i="11"/>
  <c r="G198" i="11" s="1"/>
  <c r="H198" i="11"/>
  <c r="D159" i="12"/>
  <c r="L157" i="12"/>
  <c r="H160" i="11"/>
  <c r="E160" i="11"/>
  <c r="A203" i="12"/>
  <c r="E203" i="12" s="1"/>
  <c r="J203" i="12" s="1"/>
  <c r="I203" i="12"/>
  <c r="G203" i="12" s="1"/>
  <c r="H203" i="12"/>
  <c r="J157" i="12"/>
  <c r="D160" i="12" l="1"/>
  <c r="L159" i="12" s="1"/>
  <c r="A199" i="11"/>
  <c r="I204" i="12"/>
  <c r="G204" i="12" s="1"/>
  <c r="H204" i="12"/>
  <c r="A204" i="12"/>
  <c r="E204" i="12" s="1"/>
  <c r="J204" i="12" s="1"/>
  <c r="I160" i="11"/>
  <c r="G160" i="11" s="1"/>
  <c r="D161" i="11" s="1"/>
  <c r="L158" i="12"/>
  <c r="J198" i="11"/>
  <c r="C201" i="11"/>
  <c r="B200" i="11"/>
  <c r="K200" i="11"/>
  <c r="F200" i="11"/>
  <c r="K205" i="12"/>
  <c r="F205" i="12"/>
  <c r="C206" i="12"/>
  <c r="B205" i="12"/>
  <c r="A205" i="12" l="1"/>
  <c r="A200" i="11"/>
  <c r="E200" i="11" s="1"/>
  <c r="H200" i="11"/>
  <c r="I200" i="11"/>
  <c r="G200" i="11" s="1"/>
  <c r="L161" i="11"/>
  <c r="D162" i="11"/>
  <c r="L160" i="11"/>
  <c r="K206" i="12"/>
  <c r="F206" i="12"/>
  <c r="B206" i="12"/>
  <c r="C207" i="12"/>
  <c r="K201" i="11"/>
  <c r="F201" i="11"/>
  <c r="C202" i="11"/>
  <c r="B201" i="11"/>
  <c r="J160" i="11"/>
  <c r="H160" i="12"/>
  <c r="E160" i="12"/>
  <c r="I160" i="12" l="1"/>
  <c r="G160" i="12" s="1"/>
  <c r="D161" i="12" s="1"/>
  <c r="K202" i="11"/>
  <c r="B202" i="11"/>
  <c r="F202" i="11"/>
  <c r="C203" i="11"/>
  <c r="A206" i="12"/>
  <c r="E206" i="12" s="1"/>
  <c r="H206" i="12"/>
  <c r="I206" i="12"/>
  <c r="G206" i="12" s="1"/>
  <c r="D163" i="11"/>
  <c r="J200" i="11"/>
  <c r="I201" i="11"/>
  <c r="G201" i="11" s="1"/>
  <c r="H201" i="11"/>
  <c r="A201" i="11"/>
  <c r="E201" i="11" s="1"/>
  <c r="J201" i="11" s="1"/>
  <c r="K207" i="12"/>
  <c r="F207" i="12"/>
  <c r="B207" i="12"/>
  <c r="C208" i="12"/>
  <c r="I207" i="12" l="1"/>
  <c r="G207" i="12" s="1"/>
  <c r="A207" i="12"/>
  <c r="E207" i="12" s="1"/>
  <c r="J207" i="12" s="1"/>
  <c r="H207" i="12"/>
  <c r="H163" i="11"/>
  <c r="E163" i="11"/>
  <c r="K203" i="11"/>
  <c r="F203" i="11"/>
  <c r="C204" i="11"/>
  <c r="B203" i="11"/>
  <c r="A202" i="11"/>
  <c r="D162" i="12"/>
  <c r="L161" i="12"/>
  <c r="L160" i="12"/>
  <c r="K208" i="12"/>
  <c r="B208" i="12"/>
  <c r="C209" i="12"/>
  <c r="F208" i="12"/>
  <c r="L162" i="11"/>
  <c r="J206" i="12"/>
  <c r="J160" i="12"/>
  <c r="K209" i="12" l="1"/>
  <c r="B209" i="12"/>
  <c r="C210" i="12"/>
  <c r="F209" i="12"/>
  <c r="K204" i="11"/>
  <c r="F204" i="11"/>
  <c r="C205" i="11"/>
  <c r="B204" i="11"/>
  <c r="A208" i="12"/>
  <c r="L162" i="12"/>
  <c r="D163" i="12"/>
  <c r="A203" i="11"/>
  <c r="E203" i="11" s="1"/>
  <c r="H203" i="11"/>
  <c r="I203" i="11"/>
  <c r="G203" i="11" s="1"/>
  <c r="I163" i="11"/>
  <c r="G163" i="11" s="1"/>
  <c r="D164" i="11" s="1"/>
  <c r="D165" i="11" l="1"/>
  <c r="L164" i="11"/>
  <c r="L163" i="11"/>
  <c r="J203" i="11"/>
  <c r="J163" i="11"/>
  <c r="H163" i="12"/>
  <c r="E163" i="12"/>
  <c r="C206" i="11"/>
  <c r="F205" i="11"/>
  <c r="K205" i="11"/>
  <c r="B205" i="11"/>
  <c r="A209" i="12"/>
  <c r="E209" i="12" s="1"/>
  <c r="H209" i="12"/>
  <c r="I209" i="12"/>
  <c r="G209" i="12" s="1"/>
  <c r="I204" i="11"/>
  <c r="G204" i="11" s="1"/>
  <c r="H204" i="11"/>
  <c r="A204" i="11"/>
  <c r="E204" i="11" s="1"/>
  <c r="J204" i="11" s="1"/>
  <c r="K210" i="12"/>
  <c r="B210" i="12"/>
  <c r="C211" i="12"/>
  <c r="F210" i="12"/>
  <c r="I210" i="12" l="1"/>
  <c r="G210" i="12" s="1"/>
  <c r="H210" i="12"/>
  <c r="A210" i="12"/>
  <c r="E210" i="12" s="1"/>
  <c r="J210" i="12" s="1"/>
  <c r="J209" i="12"/>
  <c r="C207" i="11"/>
  <c r="B206" i="11"/>
  <c r="F206" i="11"/>
  <c r="K206" i="11"/>
  <c r="C212" i="12"/>
  <c r="B211" i="12"/>
  <c r="K211" i="12"/>
  <c r="F211" i="12"/>
  <c r="A205" i="11"/>
  <c r="I163" i="12"/>
  <c r="G163" i="12" s="1"/>
  <c r="D164" i="12" s="1"/>
  <c r="D166" i="11"/>
  <c r="L165" i="11"/>
  <c r="D165" i="12" l="1"/>
  <c r="L164" i="12" s="1"/>
  <c r="L163" i="12"/>
  <c r="H166" i="11"/>
  <c r="E166" i="11"/>
  <c r="J163" i="12"/>
  <c r="A211" i="12"/>
  <c r="H206" i="11"/>
  <c r="A206" i="11"/>
  <c r="E206" i="11" s="1"/>
  <c r="J206" i="11" s="1"/>
  <c r="I206" i="11"/>
  <c r="G206" i="11" s="1"/>
  <c r="C213" i="12"/>
  <c r="B212" i="12"/>
  <c r="F212" i="12"/>
  <c r="K212" i="12"/>
  <c r="K207" i="11"/>
  <c r="B207" i="11"/>
  <c r="F207" i="11"/>
  <c r="C208" i="11"/>
  <c r="C209" i="11" l="1"/>
  <c r="F208" i="11"/>
  <c r="B208" i="11"/>
  <c r="K208" i="11"/>
  <c r="I212" i="12"/>
  <c r="G212" i="12" s="1"/>
  <c r="H212" i="12"/>
  <c r="A212" i="12"/>
  <c r="E212" i="12" s="1"/>
  <c r="J212" i="12" s="1"/>
  <c r="K213" i="12"/>
  <c r="F213" i="12"/>
  <c r="B213" i="12"/>
  <c r="C214" i="12"/>
  <c r="H207" i="11"/>
  <c r="I207" i="11"/>
  <c r="G207" i="11" s="1"/>
  <c r="A207" i="11"/>
  <c r="E207" i="11" s="1"/>
  <c r="J207" i="11" s="1"/>
  <c r="I166" i="11"/>
  <c r="G166" i="11" s="1"/>
  <c r="D167" i="11" s="1"/>
  <c r="D166" i="12"/>
  <c r="L165" i="12"/>
  <c r="H166" i="12" l="1"/>
  <c r="E166" i="12"/>
  <c r="J166" i="11"/>
  <c r="K214" i="12"/>
  <c r="B214" i="12"/>
  <c r="C215" i="12"/>
  <c r="F214" i="12"/>
  <c r="D168" i="11"/>
  <c r="L167" i="11"/>
  <c r="L166" i="11"/>
  <c r="I213" i="12"/>
  <c r="G213" i="12" s="1"/>
  <c r="H213" i="12"/>
  <c r="A213" i="12"/>
  <c r="E213" i="12" s="1"/>
  <c r="J213" i="12" s="1"/>
  <c r="A208" i="11"/>
  <c r="C210" i="11"/>
  <c r="B209" i="11"/>
  <c r="F209" i="11"/>
  <c r="K209" i="11"/>
  <c r="I209" i="11" l="1"/>
  <c r="G209" i="11" s="1"/>
  <c r="A209" i="11"/>
  <c r="E209" i="11" s="1"/>
  <c r="J209" i="11" s="1"/>
  <c r="H209" i="11"/>
  <c r="D169" i="11"/>
  <c r="L168" i="11"/>
  <c r="C216" i="12"/>
  <c r="B215" i="12"/>
  <c r="K215" i="12"/>
  <c r="F215" i="12"/>
  <c r="I166" i="12"/>
  <c r="G166" i="12" s="1"/>
  <c r="D167" i="12" s="1"/>
  <c r="K210" i="11"/>
  <c r="B210" i="11"/>
  <c r="C211" i="11"/>
  <c r="F210" i="11"/>
  <c r="A214" i="12"/>
  <c r="H210" i="11" l="1"/>
  <c r="A210" i="11"/>
  <c r="E210" i="11" s="1"/>
  <c r="J210" i="11" s="1"/>
  <c r="I210" i="11"/>
  <c r="G210" i="11" s="1"/>
  <c r="D168" i="12"/>
  <c r="L166" i="12"/>
  <c r="A215" i="12"/>
  <c r="E215" i="12" s="1"/>
  <c r="H215" i="12"/>
  <c r="I215" i="12"/>
  <c r="G215" i="12" s="1"/>
  <c r="C212" i="11"/>
  <c r="B211" i="11"/>
  <c r="K211" i="11"/>
  <c r="F211" i="11"/>
  <c r="J166" i="12"/>
  <c r="K216" i="12"/>
  <c r="B216" i="12"/>
  <c r="C217" i="12"/>
  <c r="F216" i="12"/>
  <c r="H169" i="11"/>
  <c r="E169" i="11"/>
  <c r="C218" i="12" l="1"/>
  <c r="B217" i="12"/>
  <c r="K217" i="12"/>
  <c r="F217" i="12"/>
  <c r="A211" i="11"/>
  <c r="D169" i="12"/>
  <c r="I169" i="11"/>
  <c r="G169" i="11" s="1"/>
  <c r="D170" i="11" s="1"/>
  <c r="I216" i="12"/>
  <c r="G216" i="12" s="1"/>
  <c r="H216" i="12"/>
  <c r="A216" i="12"/>
  <c r="E216" i="12" s="1"/>
  <c r="J216" i="12" s="1"/>
  <c r="K212" i="11"/>
  <c r="F212" i="11"/>
  <c r="B212" i="11"/>
  <c r="C213" i="11"/>
  <c r="J215" i="12"/>
  <c r="L167" i="12"/>
  <c r="K213" i="11" l="1"/>
  <c r="F213" i="11"/>
  <c r="B213" i="11"/>
  <c r="C214" i="11"/>
  <c r="J169" i="11"/>
  <c r="H169" i="12"/>
  <c r="E169" i="12"/>
  <c r="A217" i="12"/>
  <c r="A212" i="11"/>
  <c r="E212" i="11" s="1"/>
  <c r="J212" i="11" s="1"/>
  <c r="H212" i="11"/>
  <c r="I212" i="11"/>
  <c r="G212" i="11" s="1"/>
  <c r="D171" i="11"/>
  <c r="L169" i="11"/>
  <c r="L168" i="12"/>
  <c r="C219" i="12"/>
  <c r="F218" i="12"/>
  <c r="B218" i="12"/>
  <c r="K218" i="12"/>
  <c r="A218" i="12" l="1"/>
  <c r="E218" i="12" s="1"/>
  <c r="H218" i="12"/>
  <c r="I218" i="12"/>
  <c r="G218" i="12" s="1"/>
  <c r="D172" i="11"/>
  <c r="L171" i="11"/>
  <c r="L170" i="11"/>
  <c r="C215" i="11"/>
  <c r="B214" i="11"/>
  <c r="K214" i="11"/>
  <c r="F214" i="11"/>
  <c r="C220" i="12"/>
  <c r="B219" i="12"/>
  <c r="K219" i="12"/>
  <c r="F219" i="12"/>
  <c r="I169" i="12"/>
  <c r="G169" i="12" s="1"/>
  <c r="D170" i="12" s="1"/>
  <c r="A213" i="11"/>
  <c r="E213" i="11" s="1"/>
  <c r="H213" i="11"/>
  <c r="I213" i="11"/>
  <c r="G213" i="11" s="1"/>
  <c r="H219" i="12" l="1"/>
  <c r="A219" i="12"/>
  <c r="E219" i="12" s="1"/>
  <c r="J219" i="12" s="1"/>
  <c r="I219" i="12"/>
  <c r="G219" i="12" s="1"/>
  <c r="J213" i="11"/>
  <c r="J169" i="12"/>
  <c r="C221" i="12"/>
  <c r="B220" i="12"/>
  <c r="F220" i="12"/>
  <c r="K220" i="12"/>
  <c r="C216" i="11"/>
  <c r="B215" i="11"/>
  <c r="F215" i="11"/>
  <c r="K215" i="11"/>
  <c r="H172" i="11"/>
  <c r="E172" i="11"/>
  <c r="D171" i="12"/>
  <c r="L170" i="12"/>
  <c r="L169" i="12"/>
  <c r="A214" i="11"/>
  <c r="J218" i="12"/>
  <c r="I172" i="11" l="1"/>
  <c r="G172" i="11" s="1"/>
  <c r="D173" i="11" s="1"/>
  <c r="D172" i="12"/>
  <c r="K216" i="11"/>
  <c r="B216" i="11"/>
  <c r="C217" i="11"/>
  <c r="F216" i="11"/>
  <c r="K221" i="12"/>
  <c r="F221" i="12"/>
  <c r="B221" i="12"/>
  <c r="C222" i="12"/>
  <c r="H215" i="11"/>
  <c r="I215" i="11"/>
  <c r="G215" i="11" s="1"/>
  <c r="A215" i="11"/>
  <c r="E215" i="11" s="1"/>
  <c r="J215" i="11" s="1"/>
  <c r="A220" i="12"/>
  <c r="K222" i="12" l="1"/>
  <c r="B222" i="12"/>
  <c r="F222" i="12"/>
  <c r="C223" i="12"/>
  <c r="I216" i="11"/>
  <c r="G216" i="11" s="1"/>
  <c r="A216" i="11"/>
  <c r="E216" i="11" s="1"/>
  <c r="J216" i="11" s="1"/>
  <c r="H216" i="11"/>
  <c r="H172" i="12"/>
  <c r="E172" i="12"/>
  <c r="L173" i="11"/>
  <c r="D174" i="11"/>
  <c r="L172" i="11"/>
  <c r="A221" i="12"/>
  <c r="E221" i="12" s="1"/>
  <c r="J221" i="12" s="1"/>
  <c r="H221" i="12"/>
  <c r="I221" i="12"/>
  <c r="G221" i="12" s="1"/>
  <c r="C218" i="11"/>
  <c r="B217" i="11"/>
  <c r="F217" i="11"/>
  <c r="K217" i="11"/>
  <c r="L171" i="12"/>
  <c r="J172" i="11"/>
  <c r="C224" i="12" l="1"/>
  <c r="F223" i="12"/>
  <c r="B223" i="12"/>
  <c r="K223" i="12"/>
  <c r="A222" i="12"/>
  <c r="E222" i="12" s="1"/>
  <c r="J222" i="12" s="1"/>
  <c r="I222" i="12"/>
  <c r="G222" i="12" s="1"/>
  <c r="H222" i="12"/>
  <c r="A217" i="11"/>
  <c r="C219" i="11"/>
  <c r="B218" i="11"/>
  <c r="K218" i="11"/>
  <c r="F218" i="11"/>
  <c r="D175" i="11"/>
  <c r="L174" i="11" s="1"/>
  <c r="J172" i="12"/>
  <c r="I172" i="12"/>
  <c r="G172" i="12" s="1"/>
  <c r="D173" i="12" s="1"/>
  <c r="C220" i="11" l="1"/>
  <c r="B219" i="11"/>
  <c r="K219" i="11"/>
  <c r="F219" i="11"/>
  <c r="D174" i="12"/>
  <c r="L173" i="12"/>
  <c r="L172" i="12"/>
  <c r="A218" i="11"/>
  <c r="E218" i="11" s="1"/>
  <c r="J218" i="11" s="1"/>
  <c r="I218" i="11"/>
  <c r="G218" i="11" s="1"/>
  <c r="H218" i="11"/>
  <c r="H175" i="11"/>
  <c r="E175" i="11"/>
  <c r="A223" i="12"/>
  <c r="C225" i="12"/>
  <c r="F224" i="12"/>
  <c r="B224" i="12"/>
  <c r="K224" i="12"/>
  <c r="I219" i="11" l="1"/>
  <c r="G219" i="11" s="1"/>
  <c r="A219" i="11"/>
  <c r="E219" i="11" s="1"/>
  <c r="J219" i="11" s="1"/>
  <c r="H219" i="11"/>
  <c r="A224" i="12"/>
  <c r="E224" i="12" s="1"/>
  <c r="H224" i="12"/>
  <c r="I224" i="12"/>
  <c r="G224" i="12" s="1"/>
  <c r="K225" i="12"/>
  <c r="F225" i="12"/>
  <c r="B225" i="12"/>
  <c r="C226" i="12"/>
  <c r="I175" i="11"/>
  <c r="G175" i="11" s="1"/>
  <c r="D176" i="11" s="1"/>
  <c r="D175" i="12"/>
  <c r="L174" i="12"/>
  <c r="C221" i="11"/>
  <c r="F220" i="11"/>
  <c r="B220" i="11"/>
  <c r="K220" i="11"/>
  <c r="A220" i="11" l="1"/>
  <c r="C222" i="11"/>
  <c r="B221" i="11"/>
  <c r="K221" i="11"/>
  <c r="F221" i="11"/>
  <c r="H175" i="12"/>
  <c r="E175" i="12"/>
  <c r="J175" i="11"/>
  <c r="I225" i="12"/>
  <c r="G225" i="12" s="1"/>
  <c r="H225" i="12"/>
  <c r="A225" i="12"/>
  <c r="E225" i="12" s="1"/>
  <c r="J225" i="12" s="1"/>
  <c r="D177" i="11"/>
  <c r="L176" i="11"/>
  <c r="L175" i="11"/>
  <c r="C227" i="12"/>
  <c r="F226" i="12"/>
  <c r="K226" i="12"/>
  <c r="B226" i="12"/>
  <c r="J224" i="12"/>
  <c r="A226" i="12" l="1"/>
  <c r="D178" i="11"/>
  <c r="L177" i="11" s="1"/>
  <c r="C223" i="11"/>
  <c r="F222" i="11"/>
  <c r="B222" i="11"/>
  <c r="K222" i="11"/>
  <c r="C228" i="12"/>
  <c r="F227" i="12"/>
  <c r="K227" i="12"/>
  <c r="B227" i="12"/>
  <c r="I175" i="12"/>
  <c r="G175" i="12" s="1"/>
  <c r="D176" i="12" s="1"/>
  <c r="A221" i="11"/>
  <c r="E221" i="11" s="1"/>
  <c r="H221" i="11"/>
  <c r="I221" i="11"/>
  <c r="G221" i="11" s="1"/>
  <c r="D177" i="12" l="1"/>
  <c r="L176" i="12"/>
  <c r="L175" i="12"/>
  <c r="J221" i="11"/>
  <c r="J175" i="12"/>
  <c r="C229" i="12"/>
  <c r="B228" i="12"/>
  <c r="K228" i="12"/>
  <c r="F228" i="12"/>
  <c r="H222" i="11"/>
  <c r="A222" i="11"/>
  <c r="E222" i="11" s="1"/>
  <c r="J222" i="11" s="1"/>
  <c r="I222" i="11"/>
  <c r="G222" i="11" s="1"/>
  <c r="K223" i="11"/>
  <c r="F223" i="11"/>
  <c r="B223" i="11"/>
  <c r="C224" i="11"/>
  <c r="A227" i="12"/>
  <c r="E227" i="12" s="1"/>
  <c r="H227" i="12"/>
  <c r="I227" i="12"/>
  <c r="G227" i="12" s="1"/>
  <c r="H178" i="11"/>
  <c r="E178" i="11"/>
  <c r="A223" i="11" l="1"/>
  <c r="C225" i="11"/>
  <c r="F224" i="11"/>
  <c r="K224" i="11"/>
  <c r="B224" i="11"/>
  <c r="C230" i="12"/>
  <c r="F229" i="12"/>
  <c r="B229" i="12"/>
  <c r="K229" i="12"/>
  <c r="J178" i="11"/>
  <c r="I178" i="11"/>
  <c r="G178" i="11" s="1"/>
  <c r="D179" i="11" s="1"/>
  <c r="J227" i="12"/>
  <c r="A228" i="12"/>
  <c r="E228" i="12" s="1"/>
  <c r="H228" i="12"/>
  <c r="I228" i="12"/>
  <c r="G228" i="12" s="1"/>
  <c r="L177" i="12"/>
  <c r="D178" i="12"/>
  <c r="A229" i="12" l="1"/>
  <c r="K230" i="12"/>
  <c r="F230" i="12"/>
  <c r="C231" i="12"/>
  <c r="B230" i="12"/>
  <c r="C226" i="11"/>
  <c r="F225" i="11"/>
  <c r="K225" i="11"/>
  <c r="B225" i="11"/>
  <c r="H178" i="12"/>
  <c r="E178" i="12"/>
  <c r="J228" i="12"/>
  <c r="D180" i="11"/>
  <c r="L179" i="11"/>
  <c r="L178" i="11"/>
  <c r="A224" i="11"/>
  <c r="E224" i="11" s="1"/>
  <c r="J224" i="11" s="1"/>
  <c r="H224" i="11"/>
  <c r="I224" i="11"/>
  <c r="G224" i="11" s="1"/>
  <c r="D181" i="11" l="1"/>
  <c r="L180" i="11" s="1"/>
  <c r="I178" i="12"/>
  <c r="G178" i="12" s="1"/>
  <c r="D179" i="12" s="1"/>
  <c r="K226" i="11"/>
  <c r="F226" i="11"/>
  <c r="B226" i="11"/>
  <c r="C227" i="11"/>
  <c r="K231" i="12"/>
  <c r="F231" i="12"/>
  <c r="C232" i="12"/>
  <c r="B231" i="12"/>
  <c r="A225" i="11"/>
  <c r="E225" i="11" s="1"/>
  <c r="J225" i="11" s="1"/>
  <c r="H225" i="11"/>
  <c r="I225" i="11"/>
  <c r="G225" i="11" s="1"/>
  <c r="A230" i="12"/>
  <c r="E230" i="12" s="1"/>
  <c r="H230" i="12"/>
  <c r="I230" i="12"/>
  <c r="G230" i="12" s="1"/>
  <c r="J230" i="12" l="1"/>
  <c r="I231" i="12"/>
  <c r="G231" i="12" s="1"/>
  <c r="H231" i="12"/>
  <c r="A231" i="12"/>
  <c r="E231" i="12" s="1"/>
  <c r="J231" i="12" s="1"/>
  <c r="K227" i="11"/>
  <c r="F227" i="11"/>
  <c r="B227" i="11"/>
  <c r="C228" i="11"/>
  <c r="D180" i="12"/>
  <c r="L178" i="12"/>
  <c r="K232" i="12"/>
  <c r="F232" i="12"/>
  <c r="C233" i="12"/>
  <c r="B232" i="12"/>
  <c r="A226" i="11"/>
  <c r="J178" i="12"/>
  <c r="H181" i="11"/>
  <c r="E181" i="11"/>
  <c r="K233" i="12" l="1"/>
  <c r="F233" i="12"/>
  <c r="C234" i="12"/>
  <c r="B233" i="12"/>
  <c r="D181" i="12"/>
  <c r="C229" i="11"/>
  <c r="F228" i="11"/>
  <c r="B228" i="11"/>
  <c r="K228" i="11"/>
  <c r="J181" i="11"/>
  <c r="I181" i="11"/>
  <c r="G181" i="11" s="1"/>
  <c r="D182" i="11" s="1"/>
  <c r="A232" i="12"/>
  <c r="L179" i="12"/>
  <c r="A227" i="11"/>
  <c r="E227" i="11" s="1"/>
  <c r="J227" i="11" s="1"/>
  <c r="I227" i="11"/>
  <c r="G227" i="11" s="1"/>
  <c r="H227" i="11"/>
  <c r="C230" i="11" l="1"/>
  <c r="F229" i="11"/>
  <c r="B229" i="11"/>
  <c r="K229" i="11"/>
  <c r="H181" i="12"/>
  <c r="E181" i="12"/>
  <c r="C235" i="12"/>
  <c r="F234" i="12"/>
  <c r="K234" i="12"/>
  <c r="B234" i="12"/>
  <c r="I228" i="11"/>
  <c r="G228" i="11" s="1"/>
  <c r="A228" i="11"/>
  <c r="E228" i="11" s="1"/>
  <c r="J228" i="11" s="1"/>
  <c r="H228" i="11"/>
  <c r="D183" i="11"/>
  <c r="L182" i="11" s="1"/>
  <c r="L181" i="11"/>
  <c r="L180" i="12"/>
  <c r="A233" i="12"/>
  <c r="E233" i="12" s="1"/>
  <c r="J233" i="12" s="1"/>
  <c r="H233" i="12"/>
  <c r="I233" i="12"/>
  <c r="G233" i="12" s="1"/>
  <c r="C236" i="12" l="1"/>
  <c r="F235" i="12"/>
  <c r="B235" i="12"/>
  <c r="K235" i="12"/>
  <c r="A229" i="11"/>
  <c r="C231" i="11"/>
  <c r="B230" i="11"/>
  <c r="K230" i="11"/>
  <c r="F230" i="11"/>
  <c r="D184" i="11"/>
  <c r="L183" i="11"/>
  <c r="A234" i="12"/>
  <c r="E234" i="12" s="1"/>
  <c r="H234" i="12"/>
  <c r="I234" i="12"/>
  <c r="G234" i="12" s="1"/>
  <c r="I181" i="12"/>
  <c r="G181" i="12" s="1"/>
  <c r="D182" i="12" s="1"/>
  <c r="D183" i="12" l="1"/>
  <c r="L182" i="12" s="1"/>
  <c r="L181" i="12"/>
  <c r="J234" i="12"/>
  <c r="H184" i="11"/>
  <c r="E184" i="11"/>
  <c r="C232" i="11"/>
  <c r="F231" i="11"/>
  <c r="K231" i="11"/>
  <c r="B231" i="11"/>
  <c r="J181" i="12"/>
  <c r="H230" i="11"/>
  <c r="A230" i="11"/>
  <c r="E230" i="11" s="1"/>
  <c r="J230" i="11" s="1"/>
  <c r="I230" i="11"/>
  <c r="G230" i="11" s="1"/>
  <c r="A235" i="12"/>
  <c r="C237" i="12"/>
  <c r="B236" i="12"/>
  <c r="F236" i="12"/>
  <c r="K236" i="12"/>
  <c r="H231" i="11" l="1"/>
  <c r="A231" i="11"/>
  <c r="E231" i="11" s="1"/>
  <c r="J231" i="11" s="1"/>
  <c r="I231" i="11"/>
  <c r="G231" i="11" s="1"/>
  <c r="J184" i="11"/>
  <c r="I184" i="11"/>
  <c r="G184" i="11" s="1"/>
  <c r="D185" i="11" s="1"/>
  <c r="H236" i="12"/>
  <c r="I236" i="12"/>
  <c r="G236" i="12" s="1"/>
  <c r="A236" i="12"/>
  <c r="E236" i="12" s="1"/>
  <c r="J236" i="12" s="1"/>
  <c r="K237" i="12"/>
  <c r="B237" i="12"/>
  <c r="C238" i="12"/>
  <c r="F237" i="12"/>
  <c r="C233" i="11"/>
  <c r="F232" i="11"/>
  <c r="K232" i="11"/>
  <c r="B232" i="11"/>
  <c r="D184" i="12"/>
  <c r="L183" i="12" s="1"/>
  <c r="A232" i="11" l="1"/>
  <c r="I237" i="12"/>
  <c r="G237" i="12" s="1"/>
  <c r="H237" i="12"/>
  <c r="A237" i="12"/>
  <c r="E237" i="12" s="1"/>
  <c r="J237" i="12" s="1"/>
  <c r="K233" i="11"/>
  <c r="F233" i="11"/>
  <c r="B233" i="11"/>
  <c r="C234" i="11"/>
  <c r="C239" i="12"/>
  <c r="B238" i="12"/>
  <c r="K238" i="12"/>
  <c r="F238" i="12"/>
  <c r="D186" i="11"/>
  <c r="L185" i="11"/>
  <c r="L184" i="11"/>
  <c r="H184" i="12"/>
  <c r="E184" i="12"/>
  <c r="A238" i="12" l="1"/>
  <c r="K234" i="11"/>
  <c r="B234" i="11"/>
  <c r="C235" i="11"/>
  <c r="F234" i="11"/>
  <c r="I184" i="12"/>
  <c r="G184" i="12" s="1"/>
  <c r="D185" i="12" s="1"/>
  <c r="D187" i="11"/>
  <c r="L186" i="11"/>
  <c r="K239" i="12"/>
  <c r="B239" i="12"/>
  <c r="F239" i="12"/>
  <c r="C240" i="12"/>
  <c r="A233" i="11"/>
  <c r="E233" i="11" s="1"/>
  <c r="I233" i="11"/>
  <c r="G233" i="11" s="1"/>
  <c r="H233" i="11"/>
  <c r="K240" i="12" l="1"/>
  <c r="B240" i="12"/>
  <c r="C241" i="12"/>
  <c r="F240" i="12"/>
  <c r="D186" i="12"/>
  <c r="L184" i="12"/>
  <c r="J233" i="11"/>
  <c r="H187" i="11"/>
  <c r="E187" i="11"/>
  <c r="J184" i="12"/>
  <c r="C236" i="11"/>
  <c r="F235" i="11"/>
  <c r="B235" i="11"/>
  <c r="K235" i="11"/>
  <c r="H239" i="12"/>
  <c r="I239" i="12"/>
  <c r="G239" i="12" s="1"/>
  <c r="A239" i="12"/>
  <c r="E239" i="12" s="1"/>
  <c r="J239" i="12" s="1"/>
  <c r="H234" i="11"/>
  <c r="I234" i="11"/>
  <c r="G234" i="11" s="1"/>
  <c r="A234" i="11"/>
  <c r="E234" i="11" s="1"/>
  <c r="A235" i="11" l="1"/>
  <c r="K236" i="11"/>
  <c r="F236" i="11"/>
  <c r="B236" i="11"/>
  <c r="C237" i="11"/>
  <c r="I187" i="11"/>
  <c r="G187" i="11" s="1"/>
  <c r="D188" i="11" s="1"/>
  <c r="D187" i="12"/>
  <c r="L186" i="12"/>
  <c r="I240" i="12"/>
  <c r="G240" i="12" s="1"/>
  <c r="H240" i="12"/>
  <c r="A240" i="12"/>
  <c r="E240" i="12" s="1"/>
  <c r="J240" i="12" s="1"/>
  <c r="J234" i="11"/>
  <c r="L185" i="12"/>
  <c r="C242" i="12"/>
  <c r="B241" i="12"/>
  <c r="K241" i="12"/>
  <c r="F241" i="12"/>
  <c r="A241" i="12" l="1"/>
  <c r="H187" i="12"/>
  <c r="E187" i="12"/>
  <c r="J187" i="11"/>
  <c r="A236" i="11"/>
  <c r="E236" i="11" s="1"/>
  <c r="J236" i="11" s="1"/>
  <c r="H236" i="11"/>
  <c r="I236" i="11"/>
  <c r="G236" i="11" s="1"/>
  <c r="C243" i="12"/>
  <c r="B242" i="12"/>
  <c r="F242" i="12"/>
  <c r="K242" i="12"/>
  <c r="D189" i="11"/>
  <c r="L188" i="11"/>
  <c r="L187" i="11"/>
  <c r="K237" i="11"/>
  <c r="F237" i="11"/>
  <c r="C238" i="11"/>
  <c r="B237" i="11"/>
  <c r="C239" i="11" l="1"/>
  <c r="F238" i="11"/>
  <c r="K238" i="11"/>
  <c r="B238" i="11"/>
  <c r="I237" i="11"/>
  <c r="G237" i="11" s="1"/>
  <c r="A237" i="11"/>
  <c r="E237" i="11" s="1"/>
  <c r="J237" i="11" s="1"/>
  <c r="H237" i="11"/>
  <c r="L189" i="11"/>
  <c r="D190" i="11"/>
  <c r="K243" i="12"/>
  <c r="F243" i="12"/>
  <c r="C244" i="12"/>
  <c r="B243" i="12"/>
  <c r="I242" i="12"/>
  <c r="G242" i="12" s="1"/>
  <c r="A242" i="12"/>
  <c r="E242" i="12" s="1"/>
  <c r="H242" i="12"/>
  <c r="I187" i="12"/>
  <c r="G187" i="12" s="1"/>
  <c r="D188" i="12" s="1"/>
  <c r="K244" i="12" l="1"/>
  <c r="F244" i="12"/>
  <c r="B244" i="12"/>
  <c r="C245" i="12"/>
  <c r="A238" i="11"/>
  <c r="D189" i="12"/>
  <c r="L188" i="12"/>
  <c r="L187" i="12"/>
  <c r="J187" i="12"/>
  <c r="J242" i="12"/>
  <c r="I243" i="12"/>
  <c r="G243" i="12" s="1"/>
  <c r="A243" i="12"/>
  <c r="E243" i="12" s="1"/>
  <c r="H243" i="12"/>
  <c r="H190" i="11"/>
  <c r="E190" i="11"/>
  <c r="K239" i="11"/>
  <c r="B239" i="11"/>
  <c r="C240" i="11"/>
  <c r="F239" i="11"/>
  <c r="I190" i="11" l="1"/>
  <c r="G190" i="11" s="1"/>
  <c r="D191" i="11" s="1"/>
  <c r="K240" i="11"/>
  <c r="F240" i="11"/>
  <c r="C241" i="11"/>
  <c r="B240" i="11"/>
  <c r="J243" i="12"/>
  <c r="D190" i="12"/>
  <c r="C246" i="12"/>
  <c r="B245" i="12"/>
  <c r="K245" i="12"/>
  <c r="F245" i="12"/>
  <c r="I239" i="11"/>
  <c r="G239" i="11" s="1"/>
  <c r="A239" i="11"/>
  <c r="E239" i="11" s="1"/>
  <c r="J239" i="11" s="1"/>
  <c r="H239" i="11"/>
  <c r="A244" i="12"/>
  <c r="K246" i="12" l="1"/>
  <c r="B246" i="12"/>
  <c r="C247" i="12"/>
  <c r="F246" i="12"/>
  <c r="H190" i="12"/>
  <c r="E190" i="12"/>
  <c r="A240" i="11"/>
  <c r="E240" i="11" s="1"/>
  <c r="H240" i="11"/>
  <c r="I240" i="11"/>
  <c r="G240" i="11" s="1"/>
  <c r="L191" i="11"/>
  <c r="D192" i="11"/>
  <c r="L190" i="11"/>
  <c r="I245" i="12"/>
  <c r="G245" i="12" s="1"/>
  <c r="A245" i="12"/>
  <c r="E245" i="12" s="1"/>
  <c r="J245" i="12" s="1"/>
  <c r="H245" i="12"/>
  <c r="L189" i="12"/>
  <c r="K241" i="11"/>
  <c r="F241" i="11"/>
  <c r="B241" i="11"/>
  <c r="C242" i="11"/>
  <c r="J190" i="11"/>
  <c r="A241" i="11" l="1"/>
  <c r="D193" i="11"/>
  <c r="L192" i="11" s="1"/>
  <c r="J240" i="11"/>
  <c r="K247" i="12"/>
  <c r="B247" i="12"/>
  <c r="F247" i="12"/>
  <c r="C248" i="12"/>
  <c r="C243" i="11"/>
  <c r="B242" i="11"/>
  <c r="F242" i="11"/>
  <c r="K242" i="11"/>
  <c r="I190" i="12"/>
  <c r="G190" i="12" s="1"/>
  <c r="D191" i="12" s="1"/>
  <c r="I246" i="12"/>
  <c r="G246" i="12" s="1"/>
  <c r="H246" i="12"/>
  <c r="A246" i="12"/>
  <c r="E246" i="12" s="1"/>
  <c r="J246" i="12" s="1"/>
  <c r="D192" i="12" l="1"/>
  <c r="L190" i="12"/>
  <c r="H242" i="11"/>
  <c r="I242" i="11"/>
  <c r="G242" i="11" s="1"/>
  <c r="A242" i="11"/>
  <c r="E242" i="11" s="1"/>
  <c r="J242" i="11" s="1"/>
  <c r="K248" i="12"/>
  <c r="B248" i="12"/>
  <c r="F248" i="12"/>
  <c r="C249" i="12"/>
  <c r="A247" i="12"/>
  <c r="J190" i="12"/>
  <c r="C244" i="11"/>
  <c r="F243" i="11"/>
  <c r="K243" i="11"/>
  <c r="B243" i="11"/>
  <c r="H193" i="11"/>
  <c r="E193" i="11"/>
  <c r="A243" i="11" l="1"/>
  <c r="E243" i="11" s="1"/>
  <c r="H243" i="11"/>
  <c r="I243" i="11"/>
  <c r="G243" i="11" s="1"/>
  <c r="C250" i="12"/>
  <c r="B249" i="12"/>
  <c r="F249" i="12"/>
  <c r="K249" i="12"/>
  <c r="H248" i="12"/>
  <c r="I248" i="12"/>
  <c r="G248" i="12" s="1"/>
  <c r="A248" i="12"/>
  <c r="E248" i="12" s="1"/>
  <c r="L192" i="12"/>
  <c r="D193" i="12"/>
  <c r="J193" i="11"/>
  <c r="I193" i="11"/>
  <c r="G193" i="11" s="1"/>
  <c r="D194" i="11" s="1"/>
  <c r="C245" i="11"/>
  <c r="F244" i="11"/>
  <c r="B244" i="11"/>
  <c r="K244" i="11"/>
  <c r="L191" i="12"/>
  <c r="C246" i="11" l="1"/>
  <c r="F245" i="11"/>
  <c r="B245" i="11"/>
  <c r="K245" i="11"/>
  <c r="D195" i="11"/>
  <c r="L194" i="11"/>
  <c r="L193" i="11"/>
  <c r="H193" i="12"/>
  <c r="E193" i="12"/>
  <c r="J248" i="12"/>
  <c r="K250" i="12"/>
  <c r="F250" i="12"/>
  <c r="C251" i="12"/>
  <c r="B250" i="12"/>
  <c r="A244" i="11"/>
  <c r="A249" i="12"/>
  <c r="E249" i="12" s="1"/>
  <c r="J249" i="12" s="1"/>
  <c r="I249" i="12"/>
  <c r="G249" i="12" s="1"/>
  <c r="H249" i="12"/>
  <c r="J243" i="11"/>
  <c r="A250" i="12" l="1"/>
  <c r="C252" i="12"/>
  <c r="F251" i="12"/>
  <c r="K251" i="12"/>
  <c r="B251" i="12"/>
  <c r="J193" i="12"/>
  <c r="I193" i="12"/>
  <c r="G193" i="12" s="1"/>
  <c r="D194" i="12" s="1"/>
  <c r="D196" i="11"/>
  <c r="A245" i="11"/>
  <c r="E245" i="11" s="1"/>
  <c r="H245" i="11"/>
  <c r="I245" i="11"/>
  <c r="G245" i="11" s="1"/>
  <c r="C247" i="11"/>
  <c r="B246" i="11"/>
  <c r="K246" i="11"/>
  <c r="F246" i="11"/>
  <c r="H246" i="11" l="1"/>
  <c r="I246" i="11"/>
  <c r="G246" i="11" s="1"/>
  <c r="A246" i="11"/>
  <c r="E246" i="11" s="1"/>
  <c r="J246" i="11" s="1"/>
  <c r="J245" i="11"/>
  <c r="H196" i="11"/>
  <c r="E196" i="11"/>
  <c r="C248" i="11"/>
  <c r="F247" i="11"/>
  <c r="B247" i="11"/>
  <c r="K247" i="11"/>
  <c r="L195" i="11"/>
  <c r="D195" i="12"/>
  <c r="L194" i="12"/>
  <c r="L193" i="12"/>
  <c r="A251" i="12"/>
  <c r="E251" i="12" s="1"/>
  <c r="H251" i="12"/>
  <c r="I251" i="12"/>
  <c r="G251" i="12" s="1"/>
  <c r="C253" i="12"/>
  <c r="F252" i="12"/>
  <c r="K252" i="12"/>
  <c r="B252" i="12"/>
  <c r="A252" i="12" l="1"/>
  <c r="E252" i="12" s="1"/>
  <c r="J252" i="12" s="1"/>
  <c r="I252" i="12"/>
  <c r="G252" i="12" s="1"/>
  <c r="H252" i="12"/>
  <c r="J251" i="12"/>
  <c r="C254" i="12"/>
  <c r="B253" i="12"/>
  <c r="F253" i="12"/>
  <c r="K253" i="12"/>
  <c r="D196" i="12"/>
  <c r="L195" i="12"/>
  <c r="I196" i="11"/>
  <c r="G196" i="11" s="1"/>
  <c r="D197" i="11" s="1"/>
  <c r="A247" i="11"/>
  <c r="K248" i="11"/>
  <c r="F248" i="11"/>
  <c r="C249" i="11"/>
  <c r="B248" i="11"/>
  <c r="C250" i="11" l="1"/>
  <c r="B249" i="11"/>
  <c r="F249" i="11"/>
  <c r="K249" i="11"/>
  <c r="D198" i="11"/>
  <c r="L196" i="11"/>
  <c r="A253" i="12"/>
  <c r="A248" i="11"/>
  <c r="E248" i="11" s="1"/>
  <c r="H248" i="11"/>
  <c r="I248" i="11"/>
  <c r="G248" i="11" s="1"/>
  <c r="J196" i="11"/>
  <c r="H196" i="12"/>
  <c r="E196" i="12"/>
  <c r="C255" i="12"/>
  <c r="F254" i="12"/>
  <c r="B254" i="12"/>
  <c r="K254" i="12"/>
  <c r="A254" i="12" l="1"/>
  <c r="E254" i="12" s="1"/>
  <c r="J254" i="12" s="1"/>
  <c r="I254" i="12"/>
  <c r="G254" i="12" s="1"/>
  <c r="H254" i="12"/>
  <c r="C256" i="12"/>
  <c r="B255" i="12"/>
  <c r="F255" i="12"/>
  <c r="K255" i="12"/>
  <c r="L198" i="11"/>
  <c r="D199" i="11"/>
  <c r="I249" i="11"/>
  <c r="G249" i="11" s="1"/>
  <c r="A249" i="11"/>
  <c r="E249" i="11" s="1"/>
  <c r="H249" i="11"/>
  <c r="I196" i="12"/>
  <c r="G196" i="12" s="1"/>
  <c r="D197" i="12" s="1"/>
  <c r="J248" i="11"/>
  <c r="L197" i="11"/>
  <c r="K250" i="11"/>
  <c r="B250" i="11"/>
  <c r="F250" i="11"/>
  <c r="C251" i="11"/>
  <c r="K251" i="11" l="1"/>
  <c r="F251" i="11"/>
  <c r="B251" i="11"/>
  <c r="C252" i="11"/>
  <c r="D198" i="12"/>
  <c r="L196" i="12"/>
  <c r="J196" i="12"/>
  <c r="J249" i="11"/>
  <c r="H199" i="11"/>
  <c r="E199" i="11"/>
  <c r="K256" i="12"/>
  <c r="F256" i="12"/>
  <c r="C257" i="12"/>
  <c r="B256" i="12"/>
  <c r="A250" i="11"/>
  <c r="H255" i="12"/>
  <c r="I255" i="12"/>
  <c r="G255" i="12" s="1"/>
  <c r="A255" i="12"/>
  <c r="E255" i="12" s="1"/>
  <c r="D199" i="12" l="1"/>
  <c r="L198" i="12"/>
  <c r="C258" i="12"/>
  <c r="F257" i="12"/>
  <c r="B257" i="12"/>
  <c r="K257" i="12"/>
  <c r="K252" i="11"/>
  <c r="B252" i="11"/>
  <c r="C253" i="11"/>
  <c r="F252" i="11"/>
  <c r="J255" i="12"/>
  <c r="A256" i="12"/>
  <c r="I199" i="11"/>
  <c r="G199" i="11" s="1"/>
  <c r="D200" i="11" s="1"/>
  <c r="L197" i="12"/>
  <c r="A251" i="11"/>
  <c r="E251" i="11" s="1"/>
  <c r="H251" i="11"/>
  <c r="I251" i="11"/>
  <c r="G251" i="11" s="1"/>
  <c r="J251" i="11" l="1"/>
  <c r="D201" i="11"/>
  <c r="L200" i="11"/>
  <c r="L199" i="11"/>
  <c r="J199" i="11"/>
  <c r="K253" i="11"/>
  <c r="B253" i="11"/>
  <c r="F253" i="11"/>
  <c r="C254" i="11"/>
  <c r="A257" i="12"/>
  <c r="E257" i="12" s="1"/>
  <c r="H257" i="12"/>
  <c r="I257" i="12"/>
  <c r="G257" i="12" s="1"/>
  <c r="K258" i="12"/>
  <c r="B258" i="12"/>
  <c r="C259" i="12"/>
  <c r="F258" i="12"/>
  <c r="H199" i="12"/>
  <c r="E199" i="12"/>
  <c r="A252" i="11"/>
  <c r="E252" i="11" s="1"/>
  <c r="J252" i="11" s="1"/>
  <c r="H252" i="11"/>
  <c r="I252" i="11"/>
  <c r="G252" i="11" s="1"/>
  <c r="I199" i="12" l="1"/>
  <c r="G199" i="12" s="1"/>
  <c r="D200" i="12" s="1"/>
  <c r="A258" i="12"/>
  <c r="E258" i="12" s="1"/>
  <c r="H258" i="12"/>
  <c r="I258" i="12"/>
  <c r="G258" i="12" s="1"/>
  <c r="J257" i="12"/>
  <c r="D202" i="11"/>
  <c r="L201" i="11" s="1"/>
  <c r="C260" i="12"/>
  <c r="F259" i="12"/>
  <c r="B259" i="12"/>
  <c r="K259" i="12"/>
  <c r="K254" i="11"/>
  <c r="B254" i="11"/>
  <c r="F254" i="11"/>
  <c r="C255" i="11"/>
  <c r="A253" i="11"/>
  <c r="K255" i="11" l="1"/>
  <c r="F255" i="11"/>
  <c r="B255" i="11"/>
  <c r="C256" i="11"/>
  <c r="A254" i="11"/>
  <c r="E254" i="11" s="1"/>
  <c r="H254" i="11"/>
  <c r="I254" i="11"/>
  <c r="G254" i="11" s="1"/>
  <c r="D201" i="12"/>
  <c r="L200" i="12"/>
  <c r="L199" i="12"/>
  <c r="A259" i="12"/>
  <c r="C261" i="12"/>
  <c r="B260" i="12"/>
  <c r="F260" i="12"/>
  <c r="K260" i="12"/>
  <c r="H202" i="11"/>
  <c r="E202" i="11"/>
  <c r="J258" i="12"/>
  <c r="J199" i="12"/>
  <c r="I202" i="11" l="1"/>
  <c r="G202" i="11" s="1"/>
  <c r="D203" i="11" s="1"/>
  <c r="H260" i="12"/>
  <c r="I260" i="12"/>
  <c r="G260" i="12" s="1"/>
  <c r="A260" i="12"/>
  <c r="E260" i="12" s="1"/>
  <c r="J260" i="12" s="1"/>
  <c r="J254" i="11"/>
  <c r="I255" i="11"/>
  <c r="G255" i="11" s="1"/>
  <c r="H255" i="11"/>
  <c r="A255" i="11"/>
  <c r="E255" i="11" s="1"/>
  <c r="J255" i="11" s="1"/>
  <c r="K261" i="12"/>
  <c r="B261" i="12"/>
  <c r="F261" i="12"/>
  <c r="C262" i="12"/>
  <c r="D202" i="12"/>
  <c r="L201" i="12" s="1"/>
  <c r="C257" i="11"/>
  <c r="F256" i="11"/>
  <c r="K256" i="11"/>
  <c r="B256" i="11"/>
  <c r="A256" i="11" l="1"/>
  <c r="K262" i="12"/>
  <c r="B262" i="12"/>
  <c r="F262" i="12"/>
  <c r="C263" i="12"/>
  <c r="A261" i="12"/>
  <c r="E261" i="12" s="1"/>
  <c r="H261" i="12"/>
  <c r="I261" i="12"/>
  <c r="G261" i="12" s="1"/>
  <c r="D204" i="11"/>
  <c r="L202" i="11"/>
  <c r="K257" i="11"/>
  <c r="F257" i="11"/>
  <c r="C258" i="11"/>
  <c r="B257" i="11"/>
  <c r="H202" i="12"/>
  <c r="E202" i="12"/>
  <c r="J202" i="11"/>
  <c r="A257" i="11" l="1"/>
  <c r="E257" i="11" s="1"/>
  <c r="J257" i="11" s="1"/>
  <c r="I257" i="11"/>
  <c r="G257" i="11" s="1"/>
  <c r="H257" i="11"/>
  <c r="D205" i="11"/>
  <c r="L204" i="11"/>
  <c r="K263" i="12"/>
  <c r="B263" i="12"/>
  <c r="C264" i="12"/>
  <c r="F263" i="12"/>
  <c r="C259" i="11"/>
  <c r="B258" i="11"/>
  <c r="K258" i="11"/>
  <c r="F258" i="11"/>
  <c r="L203" i="11"/>
  <c r="J261" i="12"/>
  <c r="I202" i="12"/>
  <c r="G202" i="12" s="1"/>
  <c r="D203" i="12" s="1"/>
  <c r="A262" i="12"/>
  <c r="D204" i="12" l="1"/>
  <c r="L203" i="12" s="1"/>
  <c r="L202" i="12"/>
  <c r="I258" i="11"/>
  <c r="G258" i="11" s="1"/>
  <c r="A258" i="11"/>
  <c r="E258" i="11" s="1"/>
  <c r="J258" i="11" s="1"/>
  <c r="H258" i="11"/>
  <c r="J202" i="12"/>
  <c r="K259" i="11"/>
  <c r="F259" i="11"/>
  <c r="B259" i="11"/>
  <c r="C260" i="11"/>
  <c r="C265" i="12"/>
  <c r="F264" i="12"/>
  <c r="B264" i="12"/>
  <c r="K264" i="12"/>
  <c r="H205" i="11"/>
  <c r="E205" i="11"/>
  <c r="A263" i="12"/>
  <c r="E263" i="12" s="1"/>
  <c r="J263" i="12" s="1"/>
  <c r="H263" i="12"/>
  <c r="I263" i="12"/>
  <c r="G263" i="12" s="1"/>
  <c r="I264" i="12" l="1"/>
  <c r="G264" i="12" s="1"/>
  <c r="H264" i="12"/>
  <c r="A264" i="12"/>
  <c r="E264" i="12" s="1"/>
  <c r="J264" i="12" s="1"/>
  <c r="C266" i="12"/>
  <c r="B265" i="12"/>
  <c r="F265" i="12"/>
  <c r="K265" i="12"/>
  <c r="A259" i="11"/>
  <c r="J205" i="11"/>
  <c r="I205" i="11"/>
  <c r="G205" i="11" s="1"/>
  <c r="D206" i="11" s="1"/>
  <c r="K260" i="11"/>
  <c r="F260" i="11"/>
  <c r="C261" i="11"/>
  <c r="B260" i="11"/>
  <c r="D205" i="12"/>
  <c r="H205" i="12" l="1"/>
  <c r="E205" i="12"/>
  <c r="L204" i="12"/>
  <c r="A260" i="11"/>
  <c r="E260" i="11" s="1"/>
  <c r="J260" i="11" s="1"/>
  <c r="I260" i="11"/>
  <c r="G260" i="11" s="1"/>
  <c r="H260" i="11"/>
  <c r="D207" i="11"/>
  <c r="L206" i="11"/>
  <c r="L205" i="11"/>
  <c r="C267" i="12"/>
  <c r="F266" i="12"/>
  <c r="K266" i="12"/>
  <c r="B266" i="12"/>
  <c r="K261" i="11"/>
  <c r="F261" i="11"/>
  <c r="B261" i="11"/>
  <c r="C262" i="11"/>
  <c r="A265" i="12"/>
  <c r="K262" i="11" l="1"/>
  <c r="B262" i="11"/>
  <c r="F262" i="11"/>
  <c r="C263" i="11"/>
  <c r="A266" i="12"/>
  <c r="E266" i="12" s="1"/>
  <c r="H266" i="12"/>
  <c r="I266" i="12"/>
  <c r="G266" i="12" s="1"/>
  <c r="J205" i="12"/>
  <c r="I205" i="12"/>
  <c r="G205" i="12" s="1"/>
  <c r="D206" i="12" s="1"/>
  <c r="H261" i="11"/>
  <c r="I261" i="11"/>
  <c r="G261" i="11" s="1"/>
  <c r="A261" i="11"/>
  <c r="E261" i="11" s="1"/>
  <c r="C268" i="12"/>
  <c r="B267" i="12"/>
  <c r="K267" i="12"/>
  <c r="F267" i="12"/>
  <c r="D208" i="11"/>
  <c r="L207" i="11"/>
  <c r="H208" i="11" l="1"/>
  <c r="E208" i="11"/>
  <c r="C269" i="12"/>
  <c r="F268" i="12"/>
  <c r="B268" i="12"/>
  <c r="K268" i="12"/>
  <c r="C264" i="11"/>
  <c r="F263" i="11"/>
  <c r="B263" i="11"/>
  <c r="K263" i="11"/>
  <c r="A262" i="11"/>
  <c r="A267" i="12"/>
  <c r="E267" i="12" s="1"/>
  <c r="H267" i="12"/>
  <c r="I267" i="12"/>
  <c r="G267" i="12" s="1"/>
  <c r="J261" i="11"/>
  <c r="D207" i="12"/>
  <c r="L206" i="12" s="1"/>
  <c r="L205" i="12"/>
  <c r="J266" i="12"/>
  <c r="J267" i="12" l="1"/>
  <c r="I208" i="11"/>
  <c r="G208" i="11" s="1"/>
  <c r="D209" i="11" s="1"/>
  <c r="D208" i="12"/>
  <c r="A263" i="11"/>
  <c r="E263" i="11" s="1"/>
  <c r="J263" i="11" s="1"/>
  <c r="I263" i="11"/>
  <c r="G263" i="11" s="1"/>
  <c r="H263" i="11"/>
  <c r="K264" i="11"/>
  <c r="B264" i="11"/>
  <c r="F264" i="11"/>
  <c r="C265" i="11"/>
  <c r="A268" i="12"/>
  <c r="C270" i="12"/>
  <c r="B269" i="12"/>
  <c r="K269" i="12"/>
  <c r="F269" i="12"/>
  <c r="H269" i="12" l="1"/>
  <c r="I269" i="12"/>
  <c r="G269" i="12" s="1"/>
  <c r="A269" i="12"/>
  <c r="E269" i="12" s="1"/>
  <c r="J269" i="12" s="1"/>
  <c r="H208" i="12"/>
  <c r="E208" i="12"/>
  <c r="D210" i="11"/>
  <c r="L208" i="11"/>
  <c r="K270" i="12"/>
  <c r="B270" i="12"/>
  <c r="F270" i="12"/>
  <c r="C271" i="12"/>
  <c r="K265" i="11"/>
  <c r="B265" i="11"/>
  <c r="F265" i="11"/>
  <c r="C266" i="11"/>
  <c r="I264" i="11"/>
  <c r="G264" i="11" s="1"/>
  <c r="H264" i="11"/>
  <c r="A264" i="11"/>
  <c r="E264" i="11" s="1"/>
  <c r="J264" i="11" s="1"/>
  <c r="L207" i="12"/>
  <c r="J208" i="11"/>
  <c r="C267" i="11" l="1"/>
  <c r="B266" i="11"/>
  <c r="K266" i="11"/>
  <c r="F266" i="11"/>
  <c r="D211" i="11"/>
  <c r="I208" i="12"/>
  <c r="G208" i="12" s="1"/>
  <c r="D209" i="12" s="1"/>
  <c r="A265" i="11"/>
  <c r="C272" i="12"/>
  <c r="F271" i="12"/>
  <c r="B271" i="12"/>
  <c r="K271" i="12"/>
  <c r="A270" i="12"/>
  <c r="E270" i="12" s="1"/>
  <c r="J270" i="12" s="1"/>
  <c r="H270" i="12"/>
  <c r="I270" i="12"/>
  <c r="G270" i="12" s="1"/>
  <c r="L209" i="11"/>
  <c r="A271" i="12" l="1"/>
  <c r="K272" i="12"/>
  <c r="F272" i="12"/>
  <c r="C273" i="12"/>
  <c r="B272" i="12"/>
  <c r="D210" i="12"/>
  <c r="L209" i="12"/>
  <c r="L208" i="12"/>
  <c r="H211" i="11"/>
  <c r="E211" i="11"/>
  <c r="H266" i="11"/>
  <c r="I266" i="11"/>
  <c r="G266" i="11" s="1"/>
  <c r="A266" i="11"/>
  <c r="E266" i="11" s="1"/>
  <c r="J266" i="11" s="1"/>
  <c r="J208" i="12"/>
  <c r="L210" i="11"/>
  <c r="C268" i="11"/>
  <c r="B267" i="11"/>
  <c r="K267" i="11"/>
  <c r="F267" i="11"/>
  <c r="C269" i="11" l="1"/>
  <c r="B268" i="11"/>
  <c r="F268" i="11"/>
  <c r="K268" i="11"/>
  <c r="A267" i="11"/>
  <c r="E267" i="11" s="1"/>
  <c r="I267" i="11"/>
  <c r="G267" i="11" s="1"/>
  <c r="H267" i="11"/>
  <c r="J211" i="11"/>
  <c r="I211" i="11"/>
  <c r="G211" i="11" s="1"/>
  <c r="D212" i="11" s="1"/>
  <c r="D211" i="12"/>
  <c r="C274" i="12"/>
  <c r="B273" i="12"/>
  <c r="K273" i="12"/>
  <c r="F273" i="12"/>
  <c r="A272" i="12"/>
  <c r="E272" i="12" s="1"/>
  <c r="J272" i="12" s="1"/>
  <c r="H272" i="12"/>
  <c r="I272" i="12"/>
  <c r="G272" i="12" s="1"/>
  <c r="K274" i="12" l="1"/>
  <c r="B274" i="12"/>
  <c r="C275" i="12"/>
  <c r="F274" i="12"/>
  <c r="H211" i="12"/>
  <c r="E211" i="12"/>
  <c r="A268" i="11"/>
  <c r="I273" i="12"/>
  <c r="G273" i="12" s="1"/>
  <c r="H273" i="12"/>
  <c r="A273" i="12"/>
  <c r="E273" i="12" s="1"/>
  <c r="J273" i="12" s="1"/>
  <c r="L210" i="12"/>
  <c r="L212" i="11"/>
  <c r="D213" i="11"/>
  <c r="L211" i="11"/>
  <c r="J267" i="11"/>
  <c r="K269" i="11"/>
  <c r="F269" i="11"/>
  <c r="B269" i="11"/>
  <c r="C270" i="11"/>
  <c r="A269" i="11" l="1"/>
  <c r="E269" i="11" s="1"/>
  <c r="H269" i="11"/>
  <c r="I269" i="11"/>
  <c r="G269" i="11" s="1"/>
  <c r="I211" i="12"/>
  <c r="G211" i="12" s="1"/>
  <c r="D212" i="12" s="1"/>
  <c r="A274" i="12"/>
  <c r="C271" i="11"/>
  <c r="B270" i="11"/>
  <c r="F270" i="11"/>
  <c r="K270" i="11"/>
  <c r="D214" i="11"/>
  <c r="L213" i="11"/>
  <c r="C276" i="12"/>
  <c r="F275" i="12"/>
  <c r="B275" i="12"/>
  <c r="K275" i="12"/>
  <c r="K276" i="12" l="1"/>
  <c r="F276" i="12"/>
  <c r="C277" i="12"/>
  <c r="B276" i="12"/>
  <c r="I270" i="11"/>
  <c r="G270" i="11" s="1"/>
  <c r="A270" i="11"/>
  <c r="E270" i="11" s="1"/>
  <c r="J270" i="11" s="1"/>
  <c r="H270" i="11"/>
  <c r="J211" i="12"/>
  <c r="A275" i="12"/>
  <c r="E275" i="12" s="1"/>
  <c r="H275" i="12"/>
  <c r="I275" i="12"/>
  <c r="G275" i="12" s="1"/>
  <c r="H214" i="11"/>
  <c r="E214" i="11"/>
  <c r="C272" i="11"/>
  <c r="F271" i="11"/>
  <c r="B271" i="11"/>
  <c r="K271" i="11"/>
  <c r="D213" i="12"/>
  <c r="L211" i="12"/>
  <c r="J269" i="11"/>
  <c r="D214" i="12" l="1"/>
  <c r="L213" i="12" s="1"/>
  <c r="I214" i="11"/>
  <c r="G214" i="11" s="1"/>
  <c r="D215" i="11" s="1"/>
  <c r="J275" i="12"/>
  <c r="A276" i="12"/>
  <c r="E276" i="12" s="1"/>
  <c r="J276" i="12" s="1"/>
  <c r="I276" i="12"/>
  <c r="G276" i="12" s="1"/>
  <c r="H276" i="12"/>
  <c r="L212" i="12"/>
  <c r="A271" i="11"/>
  <c r="K272" i="11"/>
  <c r="B272" i="11"/>
  <c r="C273" i="11"/>
  <c r="F272" i="11"/>
  <c r="K277" i="12"/>
  <c r="B277" i="12"/>
  <c r="C278" i="12"/>
  <c r="F277" i="12"/>
  <c r="D216" i="11" l="1"/>
  <c r="L215" i="11"/>
  <c r="L214" i="11"/>
  <c r="A277" i="12"/>
  <c r="H272" i="11"/>
  <c r="I272" i="11"/>
  <c r="G272" i="11" s="1"/>
  <c r="A272" i="11"/>
  <c r="E272" i="11" s="1"/>
  <c r="K278" i="12"/>
  <c r="B278" i="12"/>
  <c r="F278" i="12"/>
  <c r="C279" i="12"/>
  <c r="C274" i="11"/>
  <c r="F273" i="11"/>
  <c r="K273" i="11"/>
  <c r="B273" i="11"/>
  <c r="J214" i="11"/>
  <c r="H214" i="12"/>
  <c r="E214" i="12"/>
  <c r="H273" i="11" l="1"/>
  <c r="I273" i="11"/>
  <c r="G273" i="11" s="1"/>
  <c r="A273" i="11"/>
  <c r="E273" i="11" s="1"/>
  <c r="J273" i="11" s="1"/>
  <c r="C280" i="12"/>
  <c r="B279" i="12"/>
  <c r="F279" i="12"/>
  <c r="K279" i="12"/>
  <c r="A278" i="12"/>
  <c r="E278" i="12" s="1"/>
  <c r="H278" i="12"/>
  <c r="I278" i="12"/>
  <c r="G278" i="12" s="1"/>
  <c r="J272" i="11"/>
  <c r="D217" i="11"/>
  <c r="L216" i="11"/>
  <c r="I214" i="12"/>
  <c r="G214" i="12" s="1"/>
  <c r="D215" i="12" s="1"/>
  <c r="K274" i="11"/>
  <c r="F274" i="11"/>
  <c r="C275" i="11"/>
  <c r="B274" i="11"/>
  <c r="L215" i="12" l="1"/>
  <c r="D216" i="12"/>
  <c r="L214" i="12"/>
  <c r="K275" i="11"/>
  <c r="F275" i="11"/>
  <c r="B275" i="11"/>
  <c r="C276" i="11"/>
  <c r="J214" i="12"/>
  <c r="H217" i="11"/>
  <c r="E217" i="11"/>
  <c r="J278" i="12"/>
  <c r="K280" i="12"/>
  <c r="B280" i="12"/>
  <c r="C281" i="12"/>
  <c r="F280" i="12"/>
  <c r="A274" i="11"/>
  <c r="I279" i="12"/>
  <c r="G279" i="12" s="1"/>
  <c r="H279" i="12"/>
  <c r="A279" i="12"/>
  <c r="E279" i="12" s="1"/>
  <c r="J279" i="12" s="1"/>
  <c r="K281" i="12" l="1"/>
  <c r="B281" i="12"/>
  <c r="C282" i="12"/>
  <c r="F281" i="12"/>
  <c r="I217" i="11"/>
  <c r="G217" i="11" s="1"/>
  <c r="D218" i="11" s="1"/>
  <c r="A275" i="11"/>
  <c r="E275" i="11" s="1"/>
  <c r="H275" i="11"/>
  <c r="I275" i="11"/>
  <c r="G275" i="11" s="1"/>
  <c r="D217" i="12"/>
  <c r="L216" i="12" s="1"/>
  <c r="A280" i="12"/>
  <c r="C277" i="11"/>
  <c r="F276" i="11"/>
  <c r="K276" i="11"/>
  <c r="B276" i="11"/>
  <c r="H276" i="11" l="1"/>
  <c r="A276" i="11"/>
  <c r="E276" i="11" s="1"/>
  <c r="J276" i="11" s="1"/>
  <c r="I276" i="11"/>
  <c r="G276" i="11" s="1"/>
  <c r="C278" i="11"/>
  <c r="B277" i="11"/>
  <c r="F277" i="11"/>
  <c r="K277" i="11"/>
  <c r="D219" i="11"/>
  <c r="L218" i="11"/>
  <c r="L217" i="11"/>
  <c r="A281" i="12"/>
  <c r="E281" i="12" s="1"/>
  <c r="H281" i="12"/>
  <c r="I281" i="12"/>
  <c r="G281" i="12" s="1"/>
  <c r="H217" i="12"/>
  <c r="E217" i="12"/>
  <c r="J275" i="11"/>
  <c r="J217" i="11"/>
  <c r="K282" i="12"/>
  <c r="B282" i="12"/>
  <c r="C283" i="12"/>
  <c r="F282" i="12"/>
  <c r="I282" i="12" l="1"/>
  <c r="G282" i="12" s="1"/>
  <c r="H282" i="12"/>
  <c r="A282" i="12"/>
  <c r="E282" i="12" s="1"/>
  <c r="J282" i="12" s="1"/>
  <c r="I217" i="12"/>
  <c r="G217" i="12" s="1"/>
  <c r="D218" i="12" s="1"/>
  <c r="D220" i="11"/>
  <c r="L219" i="11"/>
  <c r="K278" i="11"/>
  <c r="B278" i="11"/>
  <c r="F278" i="11"/>
  <c r="C279" i="11"/>
  <c r="K283" i="12"/>
  <c r="F283" i="12"/>
  <c r="B283" i="12"/>
  <c r="C284" i="12"/>
  <c r="J281" i="12"/>
  <c r="A277" i="11"/>
  <c r="K284" i="12" l="1"/>
  <c r="F284" i="12"/>
  <c r="C285" i="12"/>
  <c r="B284" i="12"/>
  <c r="A283" i="12"/>
  <c r="H220" i="11"/>
  <c r="E220" i="11"/>
  <c r="J217" i="12"/>
  <c r="C280" i="11"/>
  <c r="B279" i="11"/>
  <c r="F279" i="11"/>
  <c r="K279" i="11"/>
  <c r="I278" i="11"/>
  <c r="G278" i="11" s="1"/>
  <c r="A278" i="11"/>
  <c r="E278" i="11" s="1"/>
  <c r="J278" i="11" s="1"/>
  <c r="H278" i="11"/>
  <c r="D219" i="12"/>
  <c r="L218" i="12" s="1"/>
  <c r="L217" i="12"/>
  <c r="I220" i="11" l="1"/>
  <c r="G220" i="11" s="1"/>
  <c r="D221" i="11" s="1"/>
  <c r="K280" i="11"/>
  <c r="F280" i="11"/>
  <c r="C281" i="11"/>
  <c r="B280" i="11"/>
  <c r="A284" i="12"/>
  <c r="E284" i="12" s="1"/>
  <c r="H284" i="12"/>
  <c r="I284" i="12"/>
  <c r="G284" i="12" s="1"/>
  <c r="L219" i="12"/>
  <c r="D220" i="12"/>
  <c r="A279" i="11"/>
  <c r="E279" i="11" s="1"/>
  <c r="J279" i="11" s="1"/>
  <c r="H279" i="11"/>
  <c r="I279" i="11"/>
  <c r="G279" i="11" s="1"/>
  <c r="K285" i="12"/>
  <c r="F285" i="12"/>
  <c r="C286" i="12"/>
  <c r="B285" i="12"/>
  <c r="C287" i="12" l="1"/>
  <c r="B286" i="12"/>
  <c r="K286" i="12"/>
  <c r="F286" i="12"/>
  <c r="A280" i="11"/>
  <c r="D222" i="11"/>
  <c r="L221" i="11"/>
  <c r="L220" i="11"/>
  <c r="I285" i="12"/>
  <c r="G285" i="12" s="1"/>
  <c r="A285" i="12"/>
  <c r="E285" i="12" s="1"/>
  <c r="H285" i="12"/>
  <c r="H220" i="12"/>
  <c r="E220" i="12"/>
  <c r="J284" i="12"/>
  <c r="K281" i="11"/>
  <c r="F281" i="11"/>
  <c r="B281" i="11"/>
  <c r="C282" i="11"/>
  <c r="J220" i="11"/>
  <c r="A281" i="11" l="1"/>
  <c r="E281" i="11" s="1"/>
  <c r="H281" i="11"/>
  <c r="I281" i="11"/>
  <c r="G281" i="11" s="1"/>
  <c r="A286" i="12"/>
  <c r="J220" i="12"/>
  <c r="I220" i="12"/>
  <c r="G220" i="12" s="1"/>
  <c r="D221" i="12" s="1"/>
  <c r="K282" i="11"/>
  <c r="B282" i="11"/>
  <c r="C283" i="11"/>
  <c r="F282" i="11"/>
  <c r="J285" i="12"/>
  <c r="L222" i="11"/>
  <c r="D223" i="11"/>
  <c r="C288" i="12"/>
  <c r="B287" i="12"/>
  <c r="K287" i="12"/>
  <c r="F287" i="12"/>
  <c r="A287" i="12" l="1"/>
  <c r="E287" i="12" s="1"/>
  <c r="H287" i="12"/>
  <c r="I287" i="12"/>
  <c r="G287" i="12" s="1"/>
  <c r="H223" i="11"/>
  <c r="E223" i="11"/>
  <c r="C284" i="11"/>
  <c r="B283" i="11"/>
  <c r="F283" i="11"/>
  <c r="K283" i="11"/>
  <c r="C289" i="12"/>
  <c r="B288" i="12"/>
  <c r="K288" i="12"/>
  <c r="F288" i="12"/>
  <c r="I282" i="11"/>
  <c r="G282" i="11" s="1"/>
  <c r="H282" i="11"/>
  <c r="A282" i="11"/>
  <c r="E282" i="11" s="1"/>
  <c r="J282" i="11" s="1"/>
  <c r="D222" i="12"/>
  <c r="L221" i="12"/>
  <c r="L220" i="12"/>
  <c r="J281" i="11"/>
  <c r="A283" i="11" l="1"/>
  <c r="D223" i="12"/>
  <c r="L222" i="12"/>
  <c r="I288" i="12"/>
  <c r="G288" i="12" s="1"/>
  <c r="H288" i="12"/>
  <c r="A288" i="12"/>
  <c r="E288" i="12" s="1"/>
  <c r="J288" i="12" s="1"/>
  <c r="F284" i="11"/>
  <c r="C285" i="11"/>
  <c r="K284" i="11"/>
  <c r="B284" i="11"/>
  <c r="C290" i="12"/>
  <c r="F289" i="12"/>
  <c r="K289" i="12"/>
  <c r="B289" i="12"/>
  <c r="I223" i="11"/>
  <c r="G223" i="11" s="1"/>
  <c r="D224" i="11" s="1"/>
  <c r="J287" i="12"/>
  <c r="A289" i="12" l="1"/>
  <c r="A284" i="11"/>
  <c r="E284" i="11" s="1"/>
  <c r="I284" i="11"/>
  <c r="G284" i="11" s="1"/>
  <c r="H284" i="11"/>
  <c r="K285" i="11"/>
  <c r="F285" i="11"/>
  <c r="C286" i="11"/>
  <c r="B285" i="11"/>
  <c r="H223" i="12"/>
  <c r="E223" i="12"/>
  <c r="D225" i="11"/>
  <c r="L224" i="11"/>
  <c r="L223" i="11"/>
  <c r="J223" i="11"/>
  <c r="C291" i="12"/>
  <c r="B290" i="12"/>
  <c r="F290" i="12"/>
  <c r="K290" i="12"/>
  <c r="A290" i="12" l="1"/>
  <c r="E290" i="12" s="1"/>
  <c r="H290" i="12"/>
  <c r="I290" i="12"/>
  <c r="G290" i="12" s="1"/>
  <c r="I223" i="12"/>
  <c r="G223" i="12" s="1"/>
  <c r="D224" i="12" s="1"/>
  <c r="I285" i="11"/>
  <c r="G285" i="11" s="1"/>
  <c r="A285" i="11"/>
  <c r="E285" i="11" s="1"/>
  <c r="J285" i="11" s="1"/>
  <c r="H285" i="11"/>
  <c r="J284" i="11"/>
  <c r="C292" i="12"/>
  <c r="B291" i="12"/>
  <c r="K291" i="12"/>
  <c r="F291" i="12"/>
  <c r="D226" i="11"/>
  <c r="L225" i="11"/>
  <c r="K286" i="11"/>
  <c r="B286" i="11"/>
  <c r="C287" i="11"/>
  <c r="F286" i="11"/>
  <c r="C288" i="11" l="1"/>
  <c r="F287" i="11"/>
  <c r="K287" i="11"/>
  <c r="B287" i="11"/>
  <c r="H226" i="11"/>
  <c r="E226" i="11"/>
  <c r="K292" i="12"/>
  <c r="B292" i="12"/>
  <c r="F292" i="12"/>
  <c r="C293" i="12"/>
  <c r="J223" i="12"/>
  <c r="A286" i="11"/>
  <c r="I291" i="12"/>
  <c r="G291" i="12" s="1"/>
  <c r="H291" i="12"/>
  <c r="A291" i="12"/>
  <c r="E291" i="12" s="1"/>
  <c r="J291" i="12" s="1"/>
  <c r="L224" i="12"/>
  <c r="D225" i="12"/>
  <c r="L223" i="12"/>
  <c r="J290" i="12"/>
  <c r="A292" i="12" l="1"/>
  <c r="I226" i="11"/>
  <c r="G226" i="11" s="1"/>
  <c r="D227" i="11" s="1"/>
  <c r="A287" i="11"/>
  <c r="E287" i="11" s="1"/>
  <c r="I287" i="11"/>
  <c r="G287" i="11" s="1"/>
  <c r="H287" i="11"/>
  <c r="K293" i="12"/>
  <c r="B293" i="12"/>
  <c r="C294" i="12"/>
  <c r="F293" i="12"/>
  <c r="D226" i="12"/>
  <c r="L225" i="12" s="1"/>
  <c r="K288" i="11"/>
  <c r="B288" i="11"/>
  <c r="C289" i="11"/>
  <c r="F288" i="11"/>
  <c r="A293" i="12" l="1"/>
  <c r="E293" i="12" s="1"/>
  <c r="H293" i="12"/>
  <c r="I293" i="12"/>
  <c r="G293" i="12" s="1"/>
  <c r="C290" i="11"/>
  <c r="B289" i="11"/>
  <c r="K289" i="11"/>
  <c r="F289" i="11"/>
  <c r="C295" i="12"/>
  <c r="F294" i="12"/>
  <c r="K294" i="12"/>
  <c r="B294" i="12"/>
  <c r="J287" i="11"/>
  <c r="J226" i="11"/>
  <c r="A288" i="11"/>
  <c r="E288" i="11" s="1"/>
  <c r="I288" i="11"/>
  <c r="G288" i="11" s="1"/>
  <c r="H288" i="11"/>
  <c r="H226" i="12"/>
  <c r="E226" i="12"/>
  <c r="L227" i="11"/>
  <c r="D228" i="11"/>
  <c r="L226" i="11"/>
  <c r="D229" i="11" l="1"/>
  <c r="I226" i="12"/>
  <c r="G226" i="12" s="1"/>
  <c r="D227" i="12" s="1"/>
  <c r="J288" i="11"/>
  <c r="K295" i="12"/>
  <c r="F295" i="12"/>
  <c r="C296" i="12"/>
  <c r="B295" i="12"/>
  <c r="K290" i="11"/>
  <c r="F290" i="11"/>
  <c r="B290" i="11"/>
  <c r="C291" i="11"/>
  <c r="I294" i="12"/>
  <c r="G294" i="12" s="1"/>
  <c r="A294" i="12"/>
  <c r="E294" i="12" s="1"/>
  <c r="J294" i="12" s="1"/>
  <c r="H294" i="12"/>
  <c r="A289" i="11"/>
  <c r="J293" i="12"/>
  <c r="C292" i="11" l="1"/>
  <c r="B291" i="11"/>
  <c r="K291" i="11"/>
  <c r="F291" i="11"/>
  <c r="A290" i="11"/>
  <c r="E290" i="11" s="1"/>
  <c r="J290" i="11" s="1"/>
  <c r="I290" i="11"/>
  <c r="G290" i="11" s="1"/>
  <c r="H290" i="11"/>
  <c r="K296" i="12"/>
  <c r="B296" i="12"/>
  <c r="C297" i="12"/>
  <c r="F296" i="12"/>
  <c r="D228" i="12"/>
  <c r="L226" i="12"/>
  <c r="H229" i="11"/>
  <c r="E229" i="11"/>
  <c r="A295" i="12"/>
  <c r="J226" i="12"/>
  <c r="L228" i="11"/>
  <c r="D229" i="12" l="1"/>
  <c r="L228" i="12" s="1"/>
  <c r="A296" i="12"/>
  <c r="E296" i="12" s="1"/>
  <c r="H296" i="12"/>
  <c r="I296" i="12"/>
  <c r="G296" i="12" s="1"/>
  <c r="K292" i="11"/>
  <c r="B292" i="11"/>
  <c r="F292" i="11"/>
  <c r="C293" i="11"/>
  <c r="I229" i="11"/>
  <c r="G229" i="11" s="1"/>
  <c r="D230" i="11" s="1"/>
  <c r="L227" i="12"/>
  <c r="C298" i="12"/>
  <c r="B297" i="12"/>
  <c r="K297" i="12"/>
  <c r="F297" i="12"/>
  <c r="I291" i="11"/>
  <c r="G291" i="11" s="1"/>
  <c r="A291" i="11"/>
  <c r="E291" i="11" s="1"/>
  <c r="H291" i="11"/>
  <c r="K298" i="12" l="1"/>
  <c r="F298" i="12"/>
  <c r="B298" i="12"/>
  <c r="C299" i="12"/>
  <c r="A292" i="11"/>
  <c r="J296" i="12"/>
  <c r="D231" i="11"/>
  <c r="L230" i="11" s="1"/>
  <c r="L229" i="11"/>
  <c r="C294" i="11"/>
  <c r="F293" i="11"/>
  <c r="K293" i="11"/>
  <c r="B293" i="11"/>
  <c r="J291" i="11"/>
  <c r="H297" i="12"/>
  <c r="A297" i="12"/>
  <c r="E297" i="12" s="1"/>
  <c r="I297" i="12"/>
  <c r="G297" i="12" s="1"/>
  <c r="J229" i="11"/>
  <c r="H229" i="12"/>
  <c r="E229" i="12"/>
  <c r="I229" i="12" l="1"/>
  <c r="G229" i="12" s="1"/>
  <c r="D230" i="12" s="1"/>
  <c r="J297" i="12"/>
  <c r="K294" i="11"/>
  <c r="F294" i="11"/>
  <c r="C295" i="11"/>
  <c r="B294" i="11"/>
  <c r="C300" i="12"/>
  <c r="B299" i="12"/>
  <c r="K299" i="12"/>
  <c r="F299" i="12"/>
  <c r="A293" i="11"/>
  <c r="E293" i="11" s="1"/>
  <c r="H293" i="11"/>
  <c r="I293" i="11"/>
  <c r="G293" i="11" s="1"/>
  <c r="D232" i="11"/>
  <c r="L231" i="11"/>
  <c r="A298" i="12"/>
  <c r="H232" i="11" l="1"/>
  <c r="E232" i="11"/>
  <c r="A299" i="12"/>
  <c r="E299" i="12" s="1"/>
  <c r="H299" i="12"/>
  <c r="I299" i="12"/>
  <c r="G299" i="12" s="1"/>
  <c r="F295" i="11"/>
  <c r="K295" i="11"/>
  <c r="C296" i="11"/>
  <c r="B295" i="11"/>
  <c r="D231" i="12"/>
  <c r="L230" i="12"/>
  <c r="L229" i="12"/>
  <c r="J293" i="11"/>
  <c r="C301" i="12"/>
  <c r="B300" i="12"/>
  <c r="F300" i="12"/>
  <c r="K300" i="12"/>
  <c r="I294" i="11"/>
  <c r="G294" i="11" s="1"/>
  <c r="H294" i="11"/>
  <c r="A294" i="11"/>
  <c r="E294" i="11" s="1"/>
  <c r="J294" i="11" s="1"/>
  <c r="J229" i="12"/>
  <c r="I300" i="12" l="1"/>
  <c r="G300" i="12" s="1"/>
  <c r="H300" i="12"/>
  <c r="A300" i="12"/>
  <c r="E300" i="12" s="1"/>
  <c r="J300" i="12" s="1"/>
  <c r="A295" i="11"/>
  <c r="J299" i="12"/>
  <c r="C302" i="12"/>
  <c r="F301" i="12"/>
  <c r="B301" i="12"/>
  <c r="K301" i="12"/>
  <c r="D232" i="12"/>
  <c r="K296" i="11"/>
  <c r="F296" i="11"/>
  <c r="C297" i="11"/>
  <c r="B296" i="11"/>
  <c r="I232" i="11"/>
  <c r="G232" i="11" s="1"/>
  <c r="D233" i="11" s="1"/>
  <c r="A296" i="11" l="1"/>
  <c r="E296" i="11" s="1"/>
  <c r="J296" i="11" s="1"/>
  <c r="I296" i="11"/>
  <c r="G296" i="11" s="1"/>
  <c r="H296" i="11"/>
  <c r="H232" i="12"/>
  <c r="E232" i="12"/>
  <c r="J232" i="11"/>
  <c r="K297" i="11"/>
  <c r="F297" i="11"/>
  <c r="B297" i="11"/>
  <c r="C298" i="11"/>
  <c r="L231" i="12"/>
  <c r="A301" i="12"/>
  <c r="K302" i="12"/>
  <c r="F302" i="12"/>
  <c r="C303" i="12"/>
  <c r="B302" i="12"/>
  <c r="D234" i="11"/>
  <c r="L232" i="11"/>
  <c r="D235" i="11" l="1"/>
  <c r="L234" i="11" s="1"/>
  <c r="L233" i="11"/>
  <c r="A302" i="12"/>
  <c r="E302" i="12" s="1"/>
  <c r="H302" i="12"/>
  <c r="I302" i="12"/>
  <c r="G302" i="12" s="1"/>
  <c r="F298" i="11"/>
  <c r="K298" i="11"/>
  <c r="B298" i="11"/>
  <c r="C299" i="11"/>
  <c r="C304" i="12"/>
  <c r="F303" i="12"/>
  <c r="K303" i="12"/>
  <c r="B303" i="12"/>
  <c r="H297" i="11"/>
  <c r="A297" i="11"/>
  <c r="E297" i="11" s="1"/>
  <c r="I297" i="11"/>
  <c r="G297" i="11" s="1"/>
  <c r="I232" i="12"/>
  <c r="G232" i="12" s="1"/>
  <c r="D233" i="12" s="1"/>
  <c r="D234" i="12" l="1"/>
  <c r="L232" i="12"/>
  <c r="A298" i="11"/>
  <c r="J302" i="12"/>
  <c r="K304" i="12"/>
  <c r="B304" i="12"/>
  <c r="F304" i="12"/>
  <c r="C305" i="12"/>
  <c r="J232" i="12"/>
  <c r="J297" i="11"/>
  <c r="H303" i="12"/>
  <c r="A303" i="12"/>
  <c r="E303" i="12" s="1"/>
  <c r="J303" i="12" s="1"/>
  <c r="I303" i="12"/>
  <c r="G303" i="12" s="1"/>
  <c r="K299" i="11"/>
  <c r="F299" i="11"/>
  <c r="B299" i="11"/>
  <c r="C300" i="11"/>
  <c r="H235" i="11"/>
  <c r="E235" i="11"/>
  <c r="I235" i="11" l="1"/>
  <c r="G235" i="11" s="1"/>
  <c r="D236" i="11" s="1"/>
  <c r="C301" i="11"/>
  <c r="B300" i="11"/>
  <c r="F300" i="11"/>
  <c r="K300" i="11"/>
  <c r="L234" i="12"/>
  <c r="D235" i="12"/>
  <c r="A299" i="11"/>
  <c r="E299" i="11" s="1"/>
  <c r="H299" i="11"/>
  <c r="I299" i="11"/>
  <c r="G299" i="11" s="1"/>
  <c r="C306" i="12"/>
  <c r="F305" i="12"/>
  <c r="K305" i="12"/>
  <c r="B305" i="12"/>
  <c r="A304" i="12"/>
  <c r="L233" i="12"/>
  <c r="A305" i="12" l="1"/>
  <c r="E305" i="12" s="1"/>
  <c r="H305" i="12"/>
  <c r="I305" i="12"/>
  <c r="G305" i="12" s="1"/>
  <c r="J299" i="11"/>
  <c r="A300" i="11"/>
  <c r="E300" i="11" s="1"/>
  <c r="H300" i="11"/>
  <c r="I300" i="11"/>
  <c r="G300" i="11" s="1"/>
  <c r="D237" i="11"/>
  <c r="L236" i="11"/>
  <c r="L235" i="11"/>
  <c r="C307" i="12"/>
  <c r="F306" i="12"/>
  <c r="B306" i="12"/>
  <c r="K306" i="12"/>
  <c r="H235" i="12"/>
  <c r="E235" i="12"/>
  <c r="C302" i="11"/>
  <c r="F301" i="11"/>
  <c r="B301" i="11"/>
  <c r="K301" i="11"/>
  <c r="J235" i="11"/>
  <c r="A301" i="11" l="1"/>
  <c r="C303" i="11"/>
  <c r="B302" i="11"/>
  <c r="F302" i="11"/>
  <c r="K302" i="11"/>
  <c r="A306" i="12"/>
  <c r="E306" i="12" s="1"/>
  <c r="I306" i="12"/>
  <c r="G306" i="12" s="1"/>
  <c r="H306" i="12"/>
  <c r="C308" i="12"/>
  <c r="F307" i="12"/>
  <c r="K307" i="12"/>
  <c r="B307" i="12"/>
  <c r="D238" i="11"/>
  <c r="L237" i="11"/>
  <c r="I235" i="12"/>
  <c r="G235" i="12" s="1"/>
  <c r="D236" i="12" s="1"/>
  <c r="J300" i="11"/>
  <c r="J305" i="12"/>
  <c r="D237" i="12" l="1"/>
  <c r="L236" i="12"/>
  <c r="L235" i="12"/>
  <c r="A307" i="12"/>
  <c r="J306" i="12"/>
  <c r="C304" i="11"/>
  <c r="K303" i="11"/>
  <c r="B303" i="11"/>
  <c r="F303" i="11"/>
  <c r="J235" i="12"/>
  <c r="H238" i="11"/>
  <c r="E238" i="11"/>
  <c r="C309" i="12"/>
  <c r="B308" i="12"/>
  <c r="F308" i="12"/>
  <c r="K308" i="12"/>
  <c r="H302" i="11"/>
  <c r="I302" i="11"/>
  <c r="G302" i="11" s="1"/>
  <c r="A302" i="11"/>
  <c r="E302" i="11" s="1"/>
  <c r="I238" i="11" l="1"/>
  <c r="G238" i="11" s="1"/>
  <c r="D239" i="11" s="1"/>
  <c r="C305" i="11"/>
  <c r="B304" i="11"/>
  <c r="K304" i="11"/>
  <c r="F304" i="11"/>
  <c r="A308" i="12"/>
  <c r="E308" i="12" s="1"/>
  <c r="J308" i="12" s="1"/>
  <c r="I308" i="12"/>
  <c r="G308" i="12" s="1"/>
  <c r="H308" i="12"/>
  <c r="I303" i="11"/>
  <c r="G303" i="11" s="1"/>
  <c r="A303" i="11"/>
  <c r="E303" i="11" s="1"/>
  <c r="J303" i="11" s="1"/>
  <c r="H303" i="11"/>
  <c r="J302" i="11"/>
  <c r="C310" i="12"/>
  <c r="B309" i="12"/>
  <c r="F309" i="12"/>
  <c r="K309" i="12"/>
  <c r="D238" i="12"/>
  <c r="I309" i="12" l="1"/>
  <c r="G309" i="12" s="1"/>
  <c r="A309" i="12"/>
  <c r="E309" i="12" s="1"/>
  <c r="J309" i="12" s="1"/>
  <c r="H309" i="12"/>
  <c r="A304" i="11"/>
  <c r="D240" i="11"/>
  <c r="L239" i="11"/>
  <c r="L238" i="11"/>
  <c r="H238" i="12"/>
  <c r="E238" i="12"/>
  <c r="L237" i="12"/>
  <c r="K310" i="12"/>
  <c r="B310" i="12"/>
  <c r="F310" i="12"/>
  <c r="C311" i="12"/>
  <c r="C306" i="11"/>
  <c r="F305" i="11"/>
  <c r="B305" i="11"/>
  <c r="K305" i="11"/>
  <c r="J238" i="11"/>
  <c r="A310" i="12" l="1"/>
  <c r="C312" i="12"/>
  <c r="F311" i="12"/>
  <c r="B311" i="12"/>
  <c r="K311" i="12"/>
  <c r="A305" i="11"/>
  <c r="E305" i="11" s="1"/>
  <c r="I305" i="11"/>
  <c r="G305" i="11" s="1"/>
  <c r="H305" i="11"/>
  <c r="K306" i="11"/>
  <c r="F306" i="11"/>
  <c r="C307" i="11"/>
  <c r="B306" i="11"/>
  <c r="J238" i="12"/>
  <c r="I238" i="12"/>
  <c r="G238" i="12" s="1"/>
  <c r="D239" i="12" s="1"/>
  <c r="L240" i="11"/>
  <c r="D241" i="11"/>
  <c r="K307" i="11" l="1"/>
  <c r="C308" i="11"/>
  <c r="F307" i="11"/>
  <c r="B307" i="11"/>
  <c r="H241" i="11"/>
  <c r="E241" i="11"/>
  <c r="D240" i="12"/>
  <c r="L238" i="12"/>
  <c r="H306" i="11"/>
  <c r="A306" i="11"/>
  <c r="E306" i="11" s="1"/>
  <c r="I306" i="11"/>
  <c r="G306" i="11" s="1"/>
  <c r="J305" i="11"/>
  <c r="A311" i="12"/>
  <c r="E311" i="12" s="1"/>
  <c r="H311" i="12"/>
  <c r="I311" i="12"/>
  <c r="G311" i="12" s="1"/>
  <c r="C313" i="12"/>
  <c r="B312" i="12"/>
  <c r="K312" i="12"/>
  <c r="F312" i="12"/>
  <c r="A312" i="12" l="1"/>
  <c r="E312" i="12" s="1"/>
  <c r="I312" i="12"/>
  <c r="G312" i="12" s="1"/>
  <c r="H312" i="12"/>
  <c r="J311" i="12"/>
  <c r="D241" i="12"/>
  <c r="L240" i="12"/>
  <c r="I241" i="11"/>
  <c r="G241" i="11" s="1"/>
  <c r="D242" i="11" s="1"/>
  <c r="A307" i="11"/>
  <c r="C309" i="11"/>
  <c r="F308" i="11"/>
  <c r="B308" i="11"/>
  <c r="K308" i="11"/>
  <c r="K313" i="12"/>
  <c r="B313" i="12"/>
  <c r="C314" i="12"/>
  <c r="F313" i="12"/>
  <c r="J306" i="11"/>
  <c r="L239" i="12"/>
  <c r="K314" i="12" l="1"/>
  <c r="B314" i="12"/>
  <c r="C315" i="12"/>
  <c r="F314" i="12"/>
  <c r="A308" i="11"/>
  <c r="E308" i="11" s="1"/>
  <c r="H308" i="11"/>
  <c r="I308" i="11"/>
  <c r="G308" i="11" s="1"/>
  <c r="C310" i="11"/>
  <c r="B309" i="11"/>
  <c r="F309" i="11"/>
  <c r="K309" i="11"/>
  <c r="D243" i="11"/>
  <c r="L241" i="11"/>
  <c r="A313" i="12"/>
  <c r="J241" i="11"/>
  <c r="H241" i="12"/>
  <c r="E241" i="12"/>
  <c r="J312" i="12"/>
  <c r="D244" i="11" l="1"/>
  <c r="L243" i="11"/>
  <c r="K310" i="11"/>
  <c r="B310" i="11"/>
  <c r="F310" i="11"/>
  <c r="C311" i="11"/>
  <c r="A314" i="12"/>
  <c r="E314" i="12" s="1"/>
  <c r="H314" i="12"/>
  <c r="I314" i="12"/>
  <c r="G314" i="12" s="1"/>
  <c r="J241" i="12"/>
  <c r="I241" i="12"/>
  <c r="G241" i="12" s="1"/>
  <c r="D242" i="12" s="1"/>
  <c r="L242" i="11"/>
  <c r="I309" i="11"/>
  <c r="G309" i="11" s="1"/>
  <c r="H309" i="11"/>
  <c r="A309" i="11"/>
  <c r="E309" i="11" s="1"/>
  <c r="J309" i="11" s="1"/>
  <c r="J308" i="11"/>
  <c r="C316" i="12"/>
  <c r="F315" i="12"/>
  <c r="K315" i="12"/>
  <c r="B315" i="12"/>
  <c r="C317" i="12" l="1"/>
  <c r="F316" i="12"/>
  <c r="K316" i="12"/>
  <c r="B316" i="12"/>
  <c r="C312" i="11"/>
  <c r="F311" i="11"/>
  <c r="K311" i="11"/>
  <c r="B311" i="11"/>
  <c r="A310" i="11"/>
  <c r="I315" i="12"/>
  <c r="G315" i="12" s="1"/>
  <c r="H315" i="12"/>
  <c r="A315" i="12"/>
  <c r="E315" i="12" s="1"/>
  <c r="J315" i="12" s="1"/>
  <c r="D243" i="12"/>
  <c r="L242" i="12"/>
  <c r="L241" i="12"/>
  <c r="J314" i="12"/>
  <c r="H244" i="11"/>
  <c r="E244" i="11"/>
  <c r="I244" i="11" l="1"/>
  <c r="G244" i="11" s="1"/>
  <c r="D245" i="11" s="1"/>
  <c r="A311" i="11"/>
  <c r="E311" i="11" s="1"/>
  <c r="H311" i="11"/>
  <c r="I311" i="11"/>
  <c r="G311" i="11" s="1"/>
  <c r="A316" i="12"/>
  <c r="D244" i="12"/>
  <c r="C313" i="11"/>
  <c r="F312" i="11"/>
  <c r="B312" i="11"/>
  <c r="K312" i="11"/>
  <c r="K317" i="12"/>
  <c r="F317" i="12"/>
  <c r="C318" i="12"/>
  <c r="B317" i="12"/>
  <c r="A312" i="11" l="1"/>
  <c r="E312" i="11" s="1"/>
  <c r="J312" i="11" s="1"/>
  <c r="I312" i="11"/>
  <c r="G312" i="11" s="1"/>
  <c r="H312" i="11"/>
  <c r="F313" i="11"/>
  <c r="B313" i="11"/>
  <c r="C314" i="11"/>
  <c r="K313" i="11"/>
  <c r="H244" i="12"/>
  <c r="E244" i="12"/>
  <c r="D246" i="11"/>
  <c r="L245" i="11" s="1"/>
  <c r="L244" i="11"/>
  <c r="K318" i="12"/>
  <c r="F318" i="12"/>
  <c r="C319" i="12"/>
  <c r="B318" i="12"/>
  <c r="A317" i="12"/>
  <c r="E317" i="12" s="1"/>
  <c r="H317" i="12"/>
  <c r="I317" i="12"/>
  <c r="G317" i="12" s="1"/>
  <c r="L243" i="12"/>
  <c r="J311" i="11"/>
  <c r="J244" i="11"/>
  <c r="I244" i="12" l="1"/>
  <c r="G244" i="12" s="1"/>
  <c r="D245" i="12" s="1"/>
  <c r="J317" i="12"/>
  <c r="C320" i="12"/>
  <c r="F319" i="12"/>
  <c r="B319" i="12"/>
  <c r="K319" i="12"/>
  <c r="K314" i="11"/>
  <c r="F314" i="11"/>
  <c r="B314" i="11"/>
  <c r="C315" i="11"/>
  <c r="A318" i="12"/>
  <c r="E318" i="12" s="1"/>
  <c r="J318" i="12" s="1"/>
  <c r="H318" i="12"/>
  <c r="I318" i="12"/>
  <c r="G318" i="12" s="1"/>
  <c r="D247" i="11"/>
  <c r="L246" i="11"/>
  <c r="A313" i="11"/>
  <c r="A314" i="11" l="1"/>
  <c r="E314" i="11" s="1"/>
  <c r="H314" i="11"/>
  <c r="I314" i="11"/>
  <c r="G314" i="11" s="1"/>
  <c r="A319" i="12"/>
  <c r="C321" i="12"/>
  <c r="F320" i="12"/>
  <c r="B320" i="12"/>
  <c r="K320" i="12"/>
  <c r="D246" i="12"/>
  <c r="L244" i="12"/>
  <c r="H247" i="11"/>
  <c r="E247" i="11"/>
  <c r="K315" i="11"/>
  <c r="F315" i="11"/>
  <c r="C316" i="11"/>
  <c r="B315" i="11"/>
  <c r="J244" i="12"/>
  <c r="D247" i="12" l="1"/>
  <c r="L246" i="12" s="1"/>
  <c r="I315" i="11"/>
  <c r="G315" i="11" s="1"/>
  <c r="A315" i="11"/>
  <c r="E315" i="11" s="1"/>
  <c r="J315" i="11" s="1"/>
  <c r="H315" i="11"/>
  <c r="J247" i="11"/>
  <c r="I247" i="11"/>
  <c r="G247" i="11" s="1"/>
  <c r="D248" i="11" s="1"/>
  <c r="L245" i="12"/>
  <c r="C317" i="11"/>
  <c r="F316" i="11"/>
  <c r="B316" i="11"/>
  <c r="K316" i="11"/>
  <c r="A320" i="12"/>
  <c r="E320" i="12" s="1"/>
  <c r="J320" i="12" s="1"/>
  <c r="I320" i="12"/>
  <c r="G320" i="12" s="1"/>
  <c r="H320" i="12"/>
  <c r="K321" i="12"/>
  <c r="C322" i="12"/>
  <c r="B321" i="12"/>
  <c r="F321" i="12"/>
  <c r="J314" i="11"/>
  <c r="C323" i="12" l="1"/>
  <c r="F322" i="12"/>
  <c r="K322" i="12"/>
  <c r="B322" i="12"/>
  <c r="I321" i="12"/>
  <c r="G321" i="12" s="1"/>
  <c r="A321" i="12"/>
  <c r="E321" i="12" s="1"/>
  <c r="J321" i="12" s="1"/>
  <c r="H321" i="12"/>
  <c r="A316" i="11"/>
  <c r="C318" i="11"/>
  <c r="F317" i="11"/>
  <c r="B317" i="11"/>
  <c r="K317" i="11"/>
  <c r="D249" i="11"/>
  <c r="L248" i="11"/>
  <c r="L247" i="11"/>
  <c r="H247" i="12"/>
  <c r="E247" i="12"/>
  <c r="A322" i="12" l="1"/>
  <c r="I247" i="12"/>
  <c r="G247" i="12" s="1"/>
  <c r="D248" i="12" s="1"/>
  <c r="D250" i="11"/>
  <c r="L249" i="11"/>
  <c r="A317" i="11"/>
  <c r="E317" i="11" s="1"/>
  <c r="H317" i="11"/>
  <c r="I317" i="11"/>
  <c r="G317" i="11" s="1"/>
  <c r="K318" i="11"/>
  <c r="B318" i="11"/>
  <c r="C319" i="11"/>
  <c r="F318" i="11"/>
  <c r="C324" i="12"/>
  <c r="B323" i="12"/>
  <c r="F323" i="12"/>
  <c r="K323" i="12"/>
  <c r="C325" i="12" l="1"/>
  <c r="B324" i="12"/>
  <c r="F324" i="12"/>
  <c r="K324" i="12"/>
  <c r="C320" i="11"/>
  <c r="B319" i="11"/>
  <c r="F319" i="11"/>
  <c r="K319" i="11"/>
  <c r="D249" i="12"/>
  <c r="L248" i="12"/>
  <c r="L247" i="12"/>
  <c r="H323" i="12"/>
  <c r="A323" i="12"/>
  <c r="E323" i="12" s="1"/>
  <c r="J323" i="12" s="1"/>
  <c r="I323" i="12"/>
  <c r="G323" i="12" s="1"/>
  <c r="A318" i="11"/>
  <c r="E318" i="11" s="1"/>
  <c r="J318" i="11" s="1"/>
  <c r="I318" i="11"/>
  <c r="G318" i="11" s="1"/>
  <c r="H318" i="11"/>
  <c r="J317" i="11"/>
  <c r="H250" i="11"/>
  <c r="E250" i="11"/>
  <c r="J247" i="12"/>
  <c r="A319" i="11" l="1"/>
  <c r="I324" i="12"/>
  <c r="G324" i="12" s="1"/>
  <c r="A324" i="12"/>
  <c r="E324" i="12" s="1"/>
  <c r="J324" i="12" s="1"/>
  <c r="H324" i="12"/>
  <c r="J250" i="11"/>
  <c r="I250" i="11"/>
  <c r="G250" i="11" s="1"/>
  <c r="D251" i="11" s="1"/>
  <c r="D250" i="12"/>
  <c r="C321" i="11"/>
  <c r="B320" i="11"/>
  <c r="K320" i="11"/>
  <c r="F320" i="11"/>
  <c r="K325" i="12"/>
  <c r="F325" i="12"/>
  <c r="B325" i="12"/>
  <c r="C326" i="12"/>
  <c r="A325" i="12" l="1"/>
  <c r="K321" i="11"/>
  <c r="F321" i="11"/>
  <c r="B321" i="11"/>
  <c r="C322" i="11"/>
  <c r="H250" i="12"/>
  <c r="E250" i="12"/>
  <c r="C327" i="12"/>
  <c r="F326" i="12"/>
  <c r="B326" i="12"/>
  <c r="K326" i="12"/>
  <c r="A320" i="11"/>
  <c r="E320" i="11" s="1"/>
  <c r="H320" i="11"/>
  <c r="I320" i="11"/>
  <c r="G320" i="11" s="1"/>
  <c r="L249" i="12"/>
  <c r="D252" i="11"/>
  <c r="L250" i="11"/>
  <c r="L252" i="11" l="1"/>
  <c r="D253" i="11"/>
  <c r="L251" i="11"/>
  <c r="J320" i="11"/>
  <c r="A326" i="12"/>
  <c r="E326" i="12" s="1"/>
  <c r="H326" i="12"/>
  <c r="I326" i="12"/>
  <c r="G326" i="12" s="1"/>
  <c r="C328" i="12"/>
  <c r="B327" i="12"/>
  <c r="K327" i="12"/>
  <c r="F327" i="12"/>
  <c r="I321" i="11"/>
  <c r="G321" i="11" s="1"/>
  <c r="A321" i="11"/>
  <c r="E321" i="11" s="1"/>
  <c r="J321" i="11" s="1"/>
  <c r="H321" i="11"/>
  <c r="J250" i="12"/>
  <c r="I250" i="12"/>
  <c r="G250" i="12" s="1"/>
  <c r="D251" i="12" s="1"/>
  <c r="K322" i="11"/>
  <c r="F322" i="11"/>
  <c r="B322" i="11"/>
  <c r="C323" i="11"/>
  <c r="C324" i="11" l="1"/>
  <c r="F323" i="11"/>
  <c r="K323" i="11"/>
  <c r="B323" i="11"/>
  <c r="D252" i="12"/>
  <c r="L250" i="12"/>
  <c r="C329" i="12"/>
  <c r="B328" i="12"/>
  <c r="F328" i="12"/>
  <c r="K328" i="12"/>
  <c r="H253" i="11"/>
  <c r="E253" i="11"/>
  <c r="A322" i="11"/>
  <c r="I327" i="12"/>
  <c r="G327" i="12" s="1"/>
  <c r="H327" i="12"/>
  <c r="A327" i="12"/>
  <c r="E327" i="12" s="1"/>
  <c r="J327" i="12" s="1"/>
  <c r="J326" i="12"/>
  <c r="I253" i="11" l="1"/>
  <c r="G253" i="11" s="1"/>
  <c r="D254" i="11" s="1"/>
  <c r="K329" i="12"/>
  <c r="F329" i="12"/>
  <c r="B329" i="12"/>
  <c r="C330" i="12"/>
  <c r="L252" i="12"/>
  <c r="D253" i="12"/>
  <c r="A323" i="11"/>
  <c r="E323" i="11" s="1"/>
  <c r="J323" i="11" s="1"/>
  <c r="I323" i="11"/>
  <c r="G323" i="11" s="1"/>
  <c r="H323" i="11"/>
  <c r="A328" i="12"/>
  <c r="L251" i="12"/>
  <c r="C325" i="11"/>
  <c r="B324" i="11"/>
  <c r="F324" i="11"/>
  <c r="K324" i="11"/>
  <c r="K325" i="11" l="1"/>
  <c r="F325" i="11"/>
  <c r="B325" i="11"/>
  <c r="C326" i="11"/>
  <c r="H324" i="11"/>
  <c r="A324" i="11"/>
  <c r="E324" i="11" s="1"/>
  <c r="I324" i="11"/>
  <c r="G324" i="11" s="1"/>
  <c r="H253" i="12"/>
  <c r="E253" i="12"/>
  <c r="C331" i="12"/>
  <c r="F330" i="12"/>
  <c r="K330" i="12"/>
  <c r="B330" i="12"/>
  <c r="D255" i="11"/>
  <c r="L254" i="11"/>
  <c r="L253" i="11"/>
  <c r="A329" i="12"/>
  <c r="E329" i="12" s="1"/>
  <c r="H329" i="12"/>
  <c r="I329" i="12"/>
  <c r="G329" i="12" s="1"/>
  <c r="J253" i="11"/>
  <c r="I330" i="12" l="1"/>
  <c r="G330" i="12" s="1"/>
  <c r="A330" i="12"/>
  <c r="E330" i="12" s="1"/>
  <c r="J330" i="12" s="1"/>
  <c r="H330" i="12"/>
  <c r="J329" i="12"/>
  <c r="D256" i="11"/>
  <c r="L255" i="11"/>
  <c r="C332" i="12"/>
  <c r="F331" i="12"/>
  <c r="B331" i="12"/>
  <c r="K331" i="12"/>
  <c r="J324" i="11"/>
  <c r="C327" i="11"/>
  <c r="B326" i="11"/>
  <c r="K326" i="11"/>
  <c r="F326" i="11"/>
  <c r="I253" i="12"/>
  <c r="G253" i="12" s="1"/>
  <c r="D254" i="12" s="1"/>
  <c r="A325" i="11"/>
  <c r="J253" i="12" l="1"/>
  <c r="K327" i="11"/>
  <c r="B327" i="11"/>
  <c r="C328" i="11"/>
  <c r="F327" i="11"/>
  <c r="D255" i="12"/>
  <c r="L254" i="12"/>
  <c r="L253" i="12"/>
  <c r="A326" i="11"/>
  <c r="E326" i="11" s="1"/>
  <c r="H326" i="11"/>
  <c r="I326" i="11"/>
  <c r="G326" i="11" s="1"/>
  <c r="A331" i="12"/>
  <c r="K332" i="12"/>
  <c r="F332" i="12"/>
  <c r="B332" i="12"/>
  <c r="C333" i="12"/>
  <c r="H256" i="11"/>
  <c r="E256" i="11"/>
  <c r="E18" i="11"/>
  <c r="H18" i="11" s="1"/>
  <c r="A332" i="12" l="1"/>
  <c r="E332" i="12" s="1"/>
  <c r="H332" i="12"/>
  <c r="I332" i="12"/>
  <c r="G332" i="12" s="1"/>
  <c r="J326" i="11"/>
  <c r="H327" i="11"/>
  <c r="I327" i="11"/>
  <c r="G327" i="11" s="1"/>
  <c r="A327" i="11"/>
  <c r="E327" i="11" s="1"/>
  <c r="J327" i="11" s="1"/>
  <c r="I256" i="11"/>
  <c r="G256" i="11" s="1"/>
  <c r="D257" i="11" s="1"/>
  <c r="K333" i="12"/>
  <c r="F333" i="12"/>
  <c r="B333" i="12"/>
  <c r="C334" i="12"/>
  <c r="L255" i="12"/>
  <c r="D256" i="12"/>
  <c r="F328" i="11"/>
  <c r="B328" i="11"/>
  <c r="K328" i="11"/>
  <c r="C329" i="11"/>
  <c r="C330" i="11" l="1"/>
  <c r="F329" i="11"/>
  <c r="B329" i="11"/>
  <c r="K329" i="11"/>
  <c r="K334" i="12"/>
  <c r="B334" i="12"/>
  <c r="C335" i="12"/>
  <c r="F334" i="12"/>
  <c r="D258" i="11"/>
  <c r="L257" i="11"/>
  <c r="L256" i="11"/>
  <c r="J332" i="12"/>
  <c r="A328" i="11"/>
  <c r="H256" i="12"/>
  <c r="E256" i="12"/>
  <c r="E18" i="12"/>
  <c r="H18" i="12" s="1"/>
  <c r="A333" i="12"/>
  <c r="E333" i="12" s="1"/>
  <c r="H333" i="12"/>
  <c r="I333" i="12"/>
  <c r="G333" i="12" s="1"/>
  <c r="J256" i="11"/>
  <c r="J333" i="12" l="1"/>
  <c r="A334" i="12"/>
  <c r="I256" i="12"/>
  <c r="G256" i="12" s="1"/>
  <c r="D257" i="12" s="1"/>
  <c r="D259" i="11"/>
  <c r="C336" i="12"/>
  <c r="F335" i="12"/>
  <c r="B335" i="12"/>
  <c r="K335" i="12"/>
  <c r="A329" i="11"/>
  <c r="E329" i="11" s="1"/>
  <c r="J329" i="11" s="1"/>
  <c r="H329" i="11"/>
  <c r="I329" i="11"/>
  <c r="G329" i="11" s="1"/>
  <c r="C331" i="11"/>
  <c r="F330" i="11"/>
  <c r="K330" i="11"/>
  <c r="B330" i="11"/>
  <c r="A330" i="11" l="1"/>
  <c r="E330" i="11" s="1"/>
  <c r="J330" i="11" s="1"/>
  <c r="I330" i="11"/>
  <c r="G330" i="11" s="1"/>
  <c r="H330" i="11"/>
  <c r="A335" i="12"/>
  <c r="E335" i="12" s="1"/>
  <c r="H335" i="12"/>
  <c r="I335" i="12"/>
  <c r="G335" i="12" s="1"/>
  <c r="C337" i="12"/>
  <c r="B336" i="12"/>
  <c r="F336" i="12"/>
  <c r="K336" i="12"/>
  <c r="H259" i="11"/>
  <c r="E259" i="11"/>
  <c r="D258" i="12"/>
  <c r="L257" i="12"/>
  <c r="L256" i="12"/>
  <c r="C332" i="11"/>
  <c r="F331" i="11"/>
  <c r="K331" i="11"/>
  <c r="B331" i="11"/>
  <c r="L258" i="11"/>
  <c r="J256" i="12"/>
  <c r="K332" i="11" l="1"/>
  <c r="B332" i="11"/>
  <c r="C333" i="11"/>
  <c r="F332" i="11"/>
  <c r="I259" i="11"/>
  <c r="G259" i="11" s="1"/>
  <c r="D260" i="11" s="1"/>
  <c r="I336" i="12"/>
  <c r="G336" i="12" s="1"/>
  <c r="A336" i="12"/>
  <c r="E336" i="12" s="1"/>
  <c r="J336" i="12" s="1"/>
  <c r="H336" i="12"/>
  <c r="J335" i="12"/>
  <c r="A331" i="11"/>
  <c r="D259" i="12"/>
  <c r="K337" i="12"/>
  <c r="B337" i="12"/>
  <c r="C338" i="12"/>
  <c r="F337" i="12"/>
  <c r="D261" i="11" l="1"/>
  <c r="L260" i="11"/>
  <c r="L259" i="11"/>
  <c r="A332" i="11"/>
  <c r="E332" i="11" s="1"/>
  <c r="J332" i="11" s="1"/>
  <c r="I332" i="11"/>
  <c r="G332" i="11" s="1"/>
  <c r="H332" i="11"/>
  <c r="C339" i="12"/>
  <c r="F338" i="12"/>
  <c r="B338" i="12"/>
  <c r="K338" i="12"/>
  <c r="H259" i="12"/>
  <c r="E259" i="12"/>
  <c r="A337" i="12"/>
  <c r="L258" i="12"/>
  <c r="J259" i="11"/>
  <c r="F333" i="11"/>
  <c r="C334" i="11"/>
  <c r="B333" i="11"/>
  <c r="K333" i="11"/>
  <c r="K334" i="11" l="1"/>
  <c r="B334" i="11"/>
  <c r="C335" i="11"/>
  <c r="F334" i="11"/>
  <c r="A338" i="12"/>
  <c r="E338" i="12" s="1"/>
  <c r="J338" i="12" s="1"/>
  <c r="I338" i="12"/>
  <c r="G338" i="12" s="1"/>
  <c r="H338" i="12"/>
  <c r="C340" i="12"/>
  <c r="B339" i="12"/>
  <c r="K339" i="12"/>
  <c r="F339" i="12"/>
  <c r="D262" i="11"/>
  <c r="I333" i="11"/>
  <c r="G333" i="11" s="1"/>
  <c r="H333" i="11"/>
  <c r="A333" i="11"/>
  <c r="E333" i="11" s="1"/>
  <c r="J333" i="11" s="1"/>
  <c r="J259" i="12"/>
  <c r="I259" i="12"/>
  <c r="G259" i="12" s="1"/>
  <c r="D260" i="12" s="1"/>
  <c r="A334" i="11" l="1"/>
  <c r="H262" i="11"/>
  <c r="E262" i="11"/>
  <c r="A339" i="12"/>
  <c r="E339" i="12" s="1"/>
  <c r="J339" i="12" s="1"/>
  <c r="I339" i="12"/>
  <c r="G339" i="12" s="1"/>
  <c r="H339" i="12"/>
  <c r="D261" i="12"/>
  <c r="L259" i="12"/>
  <c r="L261" i="11"/>
  <c r="F340" i="12"/>
  <c r="B340" i="12"/>
  <c r="K340" i="12"/>
  <c r="C341" i="12"/>
  <c r="K335" i="11"/>
  <c r="B335" i="11"/>
  <c r="C336" i="11"/>
  <c r="F335" i="11"/>
  <c r="A335" i="11" l="1"/>
  <c r="E335" i="11" s="1"/>
  <c r="J335" i="11" s="1"/>
  <c r="I335" i="11"/>
  <c r="G335" i="11" s="1"/>
  <c r="H335" i="11"/>
  <c r="C342" i="12"/>
  <c r="B341" i="12"/>
  <c r="K341" i="12"/>
  <c r="F341" i="12"/>
  <c r="A340" i="12"/>
  <c r="D262" i="12"/>
  <c r="L261" i="12" s="1"/>
  <c r="K336" i="11"/>
  <c r="B336" i="11"/>
  <c r="F336" i="11"/>
  <c r="C337" i="11"/>
  <c r="L260" i="12"/>
  <c r="J262" i="11"/>
  <c r="I262" i="11"/>
  <c r="G262" i="11" s="1"/>
  <c r="D263" i="11" s="1"/>
  <c r="D264" i="11" l="1"/>
  <c r="L263" i="11"/>
  <c r="L262" i="11"/>
  <c r="C343" i="12"/>
  <c r="B342" i="12"/>
  <c r="K342" i="12"/>
  <c r="F342" i="12"/>
  <c r="C338" i="11"/>
  <c r="B337" i="11"/>
  <c r="K337" i="11"/>
  <c r="F337" i="11"/>
  <c r="I336" i="11"/>
  <c r="G336" i="11" s="1"/>
  <c r="H336" i="11"/>
  <c r="A336" i="11"/>
  <c r="E336" i="11" s="1"/>
  <c r="J336" i="11" s="1"/>
  <c r="H262" i="12"/>
  <c r="E262" i="12"/>
  <c r="A341" i="12"/>
  <c r="E341" i="12" s="1"/>
  <c r="J341" i="12" s="1"/>
  <c r="H341" i="12"/>
  <c r="I341" i="12"/>
  <c r="G341" i="12" s="1"/>
  <c r="A337" i="11" l="1"/>
  <c r="I342" i="12"/>
  <c r="G342" i="12" s="1"/>
  <c r="A342" i="12"/>
  <c r="E342" i="12" s="1"/>
  <c r="J342" i="12" s="1"/>
  <c r="H342" i="12"/>
  <c r="D265" i="11"/>
  <c r="L264" i="11" s="1"/>
  <c r="J262" i="12"/>
  <c r="I262" i="12"/>
  <c r="G262" i="12" s="1"/>
  <c r="D263" i="12" s="1"/>
  <c r="C339" i="11"/>
  <c r="F338" i="11"/>
  <c r="K338" i="11"/>
  <c r="B338" i="11"/>
  <c r="K343" i="12"/>
  <c r="B343" i="12"/>
  <c r="C344" i="12"/>
  <c r="F343" i="12"/>
  <c r="A343" i="12" l="1"/>
  <c r="A338" i="11"/>
  <c r="E338" i="11" s="1"/>
  <c r="H338" i="11"/>
  <c r="I338" i="11"/>
  <c r="G338" i="11" s="1"/>
  <c r="D264" i="12"/>
  <c r="L263" i="12" s="1"/>
  <c r="L262" i="12"/>
  <c r="K344" i="12"/>
  <c r="B344" i="12"/>
  <c r="C345" i="12"/>
  <c r="F344" i="12"/>
  <c r="C340" i="11"/>
  <c r="B339" i="11"/>
  <c r="F339" i="11"/>
  <c r="K339" i="11"/>
  <c r="H265" i="11"/>
  <c r="E265" i="11"/>
  <c r="I265" i="11" l="1"/>
  <c r="G265" i="11" s="1"/>
  <c r="D266" i="11" s="1"/>
  <c r="A344" i="12"/>
  <c r="E344" i="12" s="1"/>
  <c r="H344" i="12"/>
  <c r="I344" i="12"/>
  <c r="G344" i="12" s="1"/>
  <c r="C341" i="11"/>
  <c r="B340" i="11"/>
  <c r="K340" i="11"/>
  <c r="F340" i="11"/>
  <c r="K345" i="12"/>
  <c r="F345" i="12"/>
  <c r="C346" i="12"/>
  <c r="B345" i="12"/>
  <c r="J338" i="11"/>
  <c r="H339" i="11"/>
  <c r="I339" i="11"/>
  <c r="G339" i="11" s="1"/>
  <c r="A339" i="11"/>
  <c r="E339" i="11" s="1"/>
  <c r="J339" i="11" s="1"/>
  <c r="D265" i="12"/>
  <c r="L264" i="12" s="1"/>
  <c r="A345" i="12" l="1"/>
  <c r="E345" i="12" s="1"/>
  <c r="H345" i="12"/>
  <c r="I345" i="12"/>
  <c r="G345" i="12" s="1"/>
  <c r="K346" i="12"/>
  <c r="B346" i="12"/>
  <c r="F346" i="12"/>
  <c r="C347" i="12"/>
  <c r="C342" i="11"/>
  <c r="F341" i="11"/>
  <c r="B341" i="11"/>
  <c r="K341" i="11"/>
  <c r="D267" i="11"/>
  <c r="L266" i="11"/>
  <c r="L265" i="11"/>
  <c r="H265" i="12"/>
  <c r="E265" i="12"/>
  <c r="A340" i="11"/>
  <c r="J344" i="12"/>
  <c r="J265" i="11"/>
  <c r="I265" i="12" l="1"/>
  <c r="G265" i="12" s="1"/>
  <c r="D266" i="12" s="1"/>
  <c r="D268" i="11"/>
  <c r="L267" i="11" s="1"/>
  <c r="A341" i="11"/>
  <c r="E341" i="11" s="1"/>
  <c r="H341" i="11"/>
  <c r="I341" i="11"/>
  <c r="G341" i="11" s="1"/>
  <c r="K342" i="11"/>
  <c r="B342" i="11"/>
  <c r="C343" i="11"/>
  <c r="F342" i="11"/>
  <c r="K347" i="12"/>
  <c r="B347" i="12"/>
  <c r="C348" i="12"/>
  <c r="F347" i="12"/>
  <c r="A346" i="12"/>
  <c r="J345" i="12"/>
  <c r="A347" i="12" l="1"/>
  <c r="E347" i="12" s="1"/>
  <c r="J347" i="12" s="1"/>
  <c r="I347" i="12"/>
  <c r="G347" i="12" s="1"/>
  <c r="H347" i="12"/>
  <c r="A342" i="11"/>
  <c r="E342" i="11" s="1"/>
  <c r="J342" i="11" s="1"/>
  <c r="I342" i="11"/>
  <c r="G342" i="11" s="1"/>
  <c r="H342" i="11"/>
  <c r="J341" i="11"/>
  <c r="J265" i="12"/>
  <c r="K348" i="12"/>
  <c r="F348" i="12"/>
  <c r="C349" i="12"/>
  <c r="B348" i="12"/>
  <c r="C344" i="11"/>
  <c r="F343" i="11"/>
  <c r="B343" i="11"/>
  <c r="K343" i="11"/>
  <c r="H268" i="11"/>
  <c r="E268" i="11"/>
  <c r="L266" i="12"/>
  <c r="D267" i="12"/>
  <c r="L265" i="12"/>
  <c r="A343" i="11" l="1"/>
  <c r="K344" i="11"/>
  <c r="B344" i="11"/>
  <c r="F344" i="11"/>
  <c r="C345" i="11"/>
  <c r="K349" i="12"/>
  <c r="F349" i="12"/>
  <c r="B349" i="12"/>
  <c r="C350" i="12"/>
  <c r="D268" i="12"/>
  <c r="L267" i="12" s="1"/>
  <c r="I268" i="11"/>
  <c r="G268" i="11" s="1"/>
  <c r="D269" i="11" s="1"/>
  <c r="I348" i="12"/>
  <c r="G348" i="12" s="1"/>
  <c r="H348" i="12"/>
  <c r="A348" i="12"/>
  <c r="E348" i="12" s="1"/>
  <c r="J348" i="12" s="1"/>
  <c r="J268" i="11" l="1"/>
  <c r="A349" i="12"/>
  <c r="D270" i="11"/>
  <c r="L269" i="11"/>
  <c r="L268" i="11"/>
  <c r="H268" i="12"/>
  <c r="E268" i="12"/>
  <c r="K350" i="12"/>
  <c r="B350" i="12"/>
  <c r="C351" i="12"/>
  <c r="F350" i="12"/>
  <c r="C346" i="11"/>
  <c r="F345" i="11"/>
  <c r="K345" i="11"/>
  <c r="B345" i="11"/>
  <c r="H344" i="11"/>
  <c r="I344" i="11"/>
  <c r="G344" i="11" s="1"/>
  <c r="A344" i="11"/>
  <c r="E344" i="11" s="1"/>
  <c r="J344" i="11" s="1"/>
  <c r="K346" i="11" l="1"/>
  <c r="B346" i="11"/>
  <c r="F346" i="11"/>
  <c r="C347" i="11"/>
  <c r="C352" i="12"/>
  <c r="B351" i="12"/>
  <c r="K351" i="12"/>
  <c r="F351" i="12"/>
  <c r="A345" i="11"/>
  <c r="E345" i="11" s="1"/>
  <c r="J345" i="11" s="1"/>
  <c r="I345" i="11"/>
  <c r="G345" i="11" s="1"/>
  <c r="H345" i="11"/>
  <c r="A350" i="12"/>
  <c r="E350" i="12" s="1"/>
  <c r="H350" i="12"/>
  <c r="I350" i="12"/>
  <c r="G350" i="12" s="1"/>
  <c r="J268" i="12"/>
  <c r="I268" i="12"/>
  <c r="G268" i="12" s="1"/>
  <c r="D269" i="12" s="1"/>
  <c r="L270" i="11"/>
  <c r="D271" i="11"/>
  <c r="A351" i="12" l="1"/>
  <c r="E351" i="12" s="1"/>
  <c r="J351" i="12" s="1"/>
  <c r="I351" i="12"/>
  <c r="G351" i="12" s="1"/>
  <c r="H351" i="12"/>
  <c r="A346" i="11"/>
  <c r="C348" i="11"/>
  <c r="F347" i="11"/>
  <c r="K347" i="11"/>
  <c r="B347" i="11"/>
  <c r="H271" i="11"/>
  <c r="E271" i="11"/>
  <c r="D270" i="12"/>
  <c r="L268" i="12"/>
  <c r="J350" i="12"/>
  <c r="K352" i="12"/>
  <c r="B352" i="12"/>
  <c r="C353" i="12"/>
  <c r="F352" i="12"/>
  <c r="A352" i="12" l="1"/>
  <c r="D271" i="12"/>
  <c r="L270" i="12"/>
  <c r="A347" i="11"/>
  <c r="E347" i="11" s="1"/>
  <c r="I347" i="11"/>
  <c r="G347" i="11" s="1"/>
  <c r="H347" i="11"/>
  <c r="I271" i="11"/>
  <c r="G271" i="11" s="1"/>
  <c r="D272" i="11" s="1"/>
  <c r="C354" i="12"/>
  <c r="F353" i="12"/>
  <c r="B353" i="12"/>
  <c r="K353" i="12"/>
  <c r="L269" i="12"/>
  <c r="K348" i="11"/>
  <c r="F348" i="11"/>
  <c r="C349" i="11"/>
  <c r="B348" i="11"/>
  <c r="A348" i="11" l="1"/>
  <c r="E348" i="11" s="1"/>
  <c r="H348" i="11"/>
  <c r="I348" i="11"/>
  <c r="G348" i="11" s="1"/>
  <c r="A353" i="12"/>
  <c r="E353" i="12" s="1"/>
  <c r="H353" i="12"/>
  <c r="I353" i="12"/>
  <c r="G353" i="12" s="1"/>
  <c r="C355" i="12"/>
  <c r="F354" i="12"/>
  <c r="K354" i="12"/>
  <c r="B354" i="12"/>
  <c r="J271" i="11"/>
  <c r="J347" i="11"/>
  <c r="H271" i="12"/>
  <c r="E271" i="12"/>
  <c r="K349" i="11"/>
  <c r="F349" i="11"/>
  <c r="B349" i="11"/>
  <c r="C350" i="11"/>
  <c r="D273" i="11"/>
  <c r="L271" i="11"/>
  <c r="L273" i="11" l="1"/>
  <c r="D274" i="11"/>
  <c r="L272" i="11"/>
  <c r="C351" i="11"/>
  <c r="F350" i="11"/>
  <c r="B350" i="11"/>
  <c r="K350" i="11"/>
  <c r="J271" i="12"/>
  <c r="I271" i="12"/>
  <c r="G271" i="12" s="1"/>
  <c r="D272" i="12" s="1"/>
  <c r="A354" i="12"/>
  <c r="E354" i="12" s="1"/>
  <c r="H354" i="12"/>
  <c r="I354" i="12"/>
  <c r="G354" i="12" s="1"/>
  <c r="J353" i="12"/>
  <c r="A349" i="11"/>
  <c r="K355" i="12"/>
  <c r="F355" i="12"/>
  <c r="C356" i="12"/>
  <c r="B355" i="12"/>
  <c r="J348" i="11"/>
  <c r="A355" i="12" l="1"/>
  <c r="J354" i="12"/>
  <c r="A350" i="11"/>
  <c r="E350" i="11" s="1"/>
  <c r="J350" i="11" s="1"/>
  <c r="H350" i="11"/>
  <c r="I350" i="11"/>
  <c r="G350" i="11" s="1"/>
  <c r="K351" i="11"/>
  <c r="B351" i="11"/>
  <c r="C352" i="11"/>
  <c r="F351" i="11"/>
  <c r="H274" i="11"/>
  <c r="E274" i="11"/>
  <c r="K356" i="12"/>
  <c r="B356" i="12"/>
  <c r="C357" i="12"/>
  <c r="F356" i="12"/>
  <c r="D273" i="12"/>
  <c r="L272" i="12" s="1"/>
  <c r="L271" i="12"/>
  <c r="I274" i="11" l="1"/>
  <c r="G274" i="11" s="1"/>
  <c r="D275" i="11" s="1"/>
  <c r="F357" i="12"/>
  <c r="B357" i="12"/>
  <c r="K357" i="12"/>
  <c r="C358" i="12"/>
  <c r="C353" i="11"/>
  <c r="F352" i="11"/>
  <c r="K352" i="11"/>
  <c r="B352" i="11"/>
  <c r="D274" i="12"/>
  <c r="L273" i="12"/>
  <c r="A356" i="12"/>
  <c r="E356" i="12" s="1"/>
  <c r="H356" i="12"/>
  <c r="I356" i="12"/>
  <c r="G356" i="12" s="1"/>
  <c r="H351" i="11"/>
  <c r="A351" i="11"/>
  <c r="E351" i="11" s="1"/>
  <c r="I351" i="11"/>
  <c r="G351" i="11" s="1"/>
  <c r="A352" i="11" l="1"/>
  <c r="K358" i="12"/>
  <c r="B358" i="12"/>
  <c r="C359" i="12"/>
  <c r="F358" i="12"/>
  <c r="H357" i="12"/>
  <c r="I357" i="12"/>
  <c r="G357" i="12" s="1"/>
  <c r="A357" i="12"/>
  <c r="E357" i="12" s="1"/>
  <c r="D276" i="11"/>
  <c r="L274" i="11"/>
  <c r="J351" i="11"/>
  <c r="J356" i="12"/>
  <c r="H274" i="12"/>
  <c r="E274" i="12"/>
  <c r="C354" i="11"/>
  <c r="B353" i="11"/>
  <c r="F353" i="11"/>
  <c r="K353" i="11"/>
  <c r="J274" i="11"/>
  <c r="I353" i="11" l="1"/>
  <c r="G353" i="11" s="1"/>
  <c r="A353" i="11"/>
  <c r="E353" i="11" s="1"/>
  <c r="J353" i="11" s="1"/>
  <c r="H353" i="11"/>
  <c r="J274" i="12"/>
  <c r="I274" i="12"/>
  <c r="G274" i="12" s="1"/>
  <c r="D275" i="12" s="1"/>
  <c r="L276" i="11"/>
  <c r="D277" i="11"/>
  <c r="C355" i="11"/>
  <c r="F354" i="11"/>
  <c r="B354" i="11"/>
  <c r="K354" i="11"/>
  <c r="L275" i="11"/>
  <c r="J357" i="12"/>
  <c r="K359" i="12"/>
  <c r="B359" i="12"/>
  <c r="C360" i="12"/>
  <c r="F359" i="12"/>
  <c r="A358" i="12"/>
  <c r="A354" i="11" l="1"/>
  <c r="E354" i="11" s="1"/>
  <c r="H354" i="11"/>
  <c r="I354" i="11"/>
  <c r="G354" i="11" s="1"/>
  <c r="K355" i="11"/>
  <c r="B355" i="11"/>
  <c r="C356" i="11"/>
  <c r="F355" i="11"/>
  <c r="K360" i="12"/>
  <c r="F360" i="12"/>
  <c r="C361" i="12"/>
  <c r="B360" i="12"/>
  <c r="A359" i="12"/>
  <c r="E359" i="12" s="1"/>
  <c r="I359" i="12"/>
  <c r="G359" i="12" s="1"/>
  <c r="H359" i="12"/>
  <c r="H277" i="11"/>
  <c r="E277" i="11"/>
  <c r="D276" i="12"/>
  <c r="L274" i="12"/>
  <c r="A360" i="12" l="1"/>
  <c r="E360" i="12" s="1"/>
  <c r="H360" i="12"/>
  <c r="I360" i="12"/>
  <c r="G360" i="12" s="1"/>
  <c r="A355" i="11"/>
  <c r="J354" i="11"/>
  <c r="D277" i="12"/>
  <c r="L275" i="12"/>
  <c r="I277" i="11"/>
  <c r="G277" i="11" s="1"/>
  <c r="D278" i="11" s="1"/>
  <c r="J359" i="12"/>
  <c r="K361" i="12"/>
  <c r="B361" i="12"/>
  <c r="C362" i="12"/>
  <c r="F361" i="12"/>
  <c r="K356" i="11"/>
  <c r="B356" i="11"/>
  <c r="F356" i="11"/>
  <c r="C357" i="11"/>
  <c r="I356" i="11" l="1"/>
  <c r="G356" i="11" s="1"/>
  <c r="A356" i="11"/>
  <c r="E356" i="11" s="1"/>
  <c r="J356" i="11" s="1"/>
  <c r="H356" i="11"/>
  <c r="C363" i="12"/>
  <c r="F362" i="12"/>
  <c r="B362" i="12"/>
  <c r="K362" i="12"/>
  <c r="D279" i="11"/>
  <c r="L277" i="11"/>
  <c r="H277" i="12"/>
  <c r="E277" i="12"/>
  <c r="C358" i="11"/>
  <c r="B357" i="11"/>
  <c r="K357" i="11"/>
  <c r="F357" i="11"/>
  <c r="A361" i="12"/>
  <c r="J277" i="11"/>
  <c r="L276" i="12"/>
  <c r="J360" i="12"/>
  <c r="K358" i="11" l="1"/>
  <c r="B358" i="11"/>
  <c r="C359" i="11"/>
  <c r="F358" i="11"/>
  <c r="A362" i="12"/>
  <c r="E362" i="12" s="1"/>
  <c r="H362" i="12"/>
  <c r="I362" i="12"/>
  <c r="G362" i="12" s="1"/>
  <c r="C364" i="12"/>
  <c r="B363" i="12"/>
  <c r="K363" i="12"/>
  <c r="F363" i="12"/>
  <c r="J277" i="12"/>
  <c r="I277" i="12"/>
  <c r="G277" i="12" s="1"/>
  <c r="D278" i="12" s="1"/>
  <c r="D280" i="11"/>
  <c r="L279" i="11" s="1"/>
  <c r="H357" i="11"/>
  <c r="A357" i="11"/>
  <c r="E357" i="11" s="1"/>
  <c r="I357" i="11"/>
  <c r="G357" i="11" s="1"/>
  <c r="L278" i="11"/>
  <c r="J357" i="11" l="1"/>
  <c r="D279" i="12"/>
  <c r="L278" i="12" s="1"/>
  <c r="L277" i="12"/>
  <c r="A363" i="12"/>
  <c r="E363" i="12" s="1"/>
  <c r="H363" i="12"/>
  <c r="I363" i="12"/>
  <c r="G363" i="12" s="1"/>
  <c r="J362" i="12"/>
  <c r="C360" i="11"/>
  <c r="F359" i="11"/>
  <c r="B359" i="11"/>
  <c r="K359" i="11"/>
  <c r="H280" i="11"/>
  <c r="E280" i="11"/>
  <c r="C365" i="12"/>
  <c r="B364" i="12"/>
  <c r="F364" i="12"/>
  <c r="K364" i="12"/>
  <c r="A358" i="11"/>
  <c r="A364" i="12" l="1"/>
  <c r="I280" i="11"/>
  <c r="G280" i="11" s="1"/>
  <c r="D281" i="11" s="1"/>
  <c r="C366" i="12"/>
  <c r="B365" i="12"/>
  <c r="F365" i="12"/>
  <c r="K365" i="12"/>
  <c r="A359" i="11"/>
  <c r="E359" i="11" s="1"/>
  <c r="J359" i="11" s="1"/>
  <c r="I359" i="11"/>
  <c r="G359" i="11" s="1"/>
  <c r="H359" i="11"/>
  <c r="K360" i="11"/>
  <c r="F360" i="11"/>
  <c r="C361" i="11"/>
  <c r="B360" i="11"/>
  <c r="J363" i="12"/>
  <c r="D280" i="12"/>
  <c r="H280" i="12" l="1"/>
  <c r="E280" i="12"/>
  <c r="D282" i="11"/>
  <c r="L281" i="11"/>
  <c r="L280" i="11"/>
  <c r="L279" i="12"/>
  <c r="C362" i="11"/>
  <c r="B361" i="11"/>
  <c r="K361" i="11"/>
  <c r="F361" i="11"/>
  <c r="A365" i="12"/>
  <c r="E365" i="12" s="1"/>
  <c r="I365" i="12"/>
  <c r="G365" i="12" s="1"/>
  <c r="H365" i="12"/>
  <c r="J280" i="11"/>
  <c r="A360" i="11"/>
  <c r="E360" i="11" s="1"/>
  <c r="H360" i="11"/>
  <c r="I360" i="11"/>
  <c r="G360" i="11" s="1"/>
  <c r="C367" i="12"/>
  <c r="B366" i="12"/>
  <c r="K366" i="12"/>
  <c r="F366" i="12"/>
  <c r="A361" i="11" l="1"/>
  <c r="I280" i="12"/>
  <c r="G280" i="12" s="1"/>
  <c r="D281" i="12" s="1"/>
  <c r="C368" i="12"/>
  <c r="K367" i="12"/>
  <c r="B367" i="12"/>
  <c r="F367" i="12"/>
  <c r="I366" i="12"/>
  <c r="G366" i="12" s="1"/>
  <c r="H366" i="12"/>
  <c r="A366" i="12"/>
  <c r="E366" i="12" s="1"/>
  <c r="J366" i="12" s="1"/>
  <c r="J360" i="11"/>
  <c r="J365" i="12"/>
  <c r="C363" i="11"/>
  <c r="B362" i="11"/>
  <c r="K362" i="11"/>
  <c r="F362" i="11"/>
  <c r="D283" i="11"/>
  <c r="L282" i="11"/>
  <c r="A367" i="12" l="1"/>
  <c r="K368" i="12"/>
  <c r="F368" i="12"/>
  <c r="C369" i="12"/>
  <c r="B368" i="12"/>
  <c r="J280" i="12"/>
  <c r="A362" i="11"/>
  <c r="E362" i="11" s="1"/>
  <c r="J362" i="11" s="1"/>
  <c r="I362" i="11"/>
  <c r="G362" i="11" s="1"/>
  <c r="H362" i="11"/>
  <c r="H283" i="11"/>
  <c r="E283" i="11"/>
  <c r="K363" i="11"/>
  <c r="F363" i="11"/>
  <c r="C364" i="11"/>
  <c r="B363" i="11"/>
  <c r="D282" i="12"/>
  <c r="L281" i="12"/>
  <c r="L280" i="12"/>
  <c r="I283" i="11" l="1"/>
  <c r="G283" i="11" s="1"/>
  <c r="D284" i="11" s="1"/>
  <c r="A368" i="12"/>
  <c r="E368" i="12" s="1"/>
  <c r="H368" i="12"/>
  <c r="I368" i="12"/>
  <c r="G368" i="12" s="1"/>
  <c r="D283" i="12"/>
  <c r="L282" i="12"/>
  <c r="F364" i="11"/>
  <c r="C365" i="11"/>
  <c r="B364" i="11"/>
  <c r="K364" i="11"/>
  <c r="K369" i="12"/>
  <c r="B369" i="12"/>
  <c r="F369" i="12"/>
  <c r="C370" i="12"/>
  <c r="A363" i="11"/>
  <c r="E363" i="11" s="1"/>
  <c r="J363" i="11" s="1"/>
  <c r="H363" i="11"/>
  <c r="I363" i="11"/>
  <c r="G363" i="11" s="1"/>
  <c r="A364" i="11" l="1"/>
  <c r="H283" i="12"/>
  <c r="E283" i="12"/>
  <c r="D285" i="11"/>
  <c r="L284" i="11"/>
  <c r="L283" i="11"/>
  <c r="F370" i="12"/>
  <c r="B370" i="12"/>
  <c r="C371" i="12"/>
  <c r="K370" i="12"/>
  <c r="H369" i="12"/>
  <c r="A369" i="12"/>
  <c r="E369" i="12" s="1"/>
  <c r="I369" i="12"/>
  <c r="G369" i="12" s="1"/>
  <c r="C366" i="11"/>
  <c r="K365" i="11"/>
  <c r="B365" i="11"/>
  <c r="F365" i="11"/>
  <c r="J368" i="12"/>
  <c r="J283" i="11"/>
  <c r="A365" i="11" l="1"/>
  <c r="E365" i="11" s="1"/>
  <c r="H365" i="11"/>
  <c r="I365" i="11"/>
  <c r="G365" i="11" s="1"/>
  <c r="C367" i="11"/>
  <c r="F366" i="11"/>
  <c r="K366" i="11"/>
  <c r="B366" i="11"/>
  <c r="J369" i="12"/>
  <c r="A370" i="12"/>
  <c r="L285" i="11"/>
  <c r="D286" i="11"/>
  <c r="C372" i="12"/>
  <c r="B371" i="12"/>
  <c r="K371" i="12"/>
  <c r="F371" i="12"/>
  <c r="J283" i="12"/>
  <c r="I283" i="12"/>
  <c r="G283" i="12" s="1"/>
  <c r="D284" i="12" s="1"/>
  <c r="K372" i="12" l="1"/>
  <c r="B372" i="12"/>
  <c r="C373" i="12"/>
  <c r="F372" i="12"/>
  <c r="F367" i="11"/>
  <c r="B367" i="11"/>
  <c r="K367" i="11"/>
  <c r="C368" i="11"/>
  <c r="D285" i="12"/>
  <c r="L283" i="12"/>
  <c r="A371" i="12"/>
  <c r="E371" i="12" s="1"/>
  <c r="H371" i="12"/>
  <c r="I371" i="12"/>
  <c r="G371" i="12" s="1"/>
  <c r="H286" i="11"/>
  <c r="E286" i="11"/>
  <c r="A366" i="11"/>
  <c r="E366" i="11" s="1"/>
  <c r="H366" i="11"/>
  <c r="I366" i="11"/>
  <c r="G366" i="11" s="1"/>
  <c r="J365" i="11"/>
  <c r="J366" i="11" l="1"/>
  <c r="J286" i="11"/>
  <c r="I286" i="11"/>
  <c r="G286" i="11" s="1"/>
  <c r="D287" i="11" s="1"/>
  <c r="J371" i="12"/>
  <c r="D286" i="12"/>
  <c r="K368" i="11"/>
  <c r="B368" i="11"/>
  <c r="F368" i="11"/>
  <c r="C369" i="11"/>
  <c r="A367" i="11"/>
  <c r="A372" i="12"/>
  <c r="E372" i="12" s="1"/>
  <c r="J372" i="12" s="1"/>
  <c r="I372" i="12"/>
  <c r="G372" i="12" s="1"/>
  <c r="H372" i="12"/>
  <c r="L284" i="12"/>
  <c r="K373" i="12"/>
  <c r="B373" i="12"/>
  <c r="F373" i="12"/>
  <c r="C374" i="12"/>
  <c r="K374" i="12" l="1"/>
  <c r="F374" i="12"/>
  <c r="C375" i="12"/>
  <c r="B374" i="12"/>
  <c r="K369" i="11"/>
  <c r="B369" i="11"/>
  <c r="C370" i="11"/>
  <c r="F369" i="11"/>
  <c r="H368" i="11"/>
  <c r="I368" i="11"/>
  <c r="G368" i="11" s="1"/>
  <c r="A368" i="11"/>
  <c r="E368" i="11" s="1"/>
  <c r="J368" i="11" s="1"/>
  <c r="H286" i="12"/>
  <c r="E286" i="12"/>
  <c r="A373" i="12"/>
  <c r="L285" i="12"/>
  <c r="D288" i="11"/>
  <c r="L287" i="11"/>
  <c r="L286" i="11"/>
  <c r="A369" i="11" l="1"/>
  <c r="E369" i="11" s="1"/>
  <c r="H369" i="11"/>
  <c r="I369" i="11"/>
  <c r="G369" i="11" s="1"/>
  <c r="A374" i="12"/>
  <c r="E374" i="12" s="1"/>
  <c r="H374" i="12"/>
  <c r="I374" i="12"/>
  <c r="G374" i="12" s="1"/>
  <c r="L288" i="11"/>
  <c r="D289" i="11"/>
  <c r="J286" i="12"/>
  <c r="I286" i="12"/>
  <c r="G286" i="12" s="1"/>
  <c r="D287" i="12" s="1"/>
  <c r="C371" i="11"/>
  <c r="B370" i="11"/>
  <c r="F370" i="11"/>
  <c r="K370" i="11"/>
  <c r="C376" i="12"/>
  <c r="B375" i="12"/>
  <c r="F375" i="12"/>
  <c r="K375" i="12"/>
  <c r="I375" i="12" l="1"/>
  <c r="G375" i="12" s="1"/>
  <c r="A375" i="12"/>
  <c r="E375" i="12" s="1"/>
  <c r="J375" i="12" s="1"/>
  <c r="H375" i="12"/>
  <c r="K376" i="12"/>
  <c r="F376" i="12"/>
  <c r="C377" i="12"/>
  <c r="B376" i="12"/>
  <c r="K371" i="11"/>
  <c r="F371" i="11"/>
  <c r="B371" i="11"/>
  <c r="C372" i="11"/>
  <c r="J369" i="11"/>
  <c r="A370" i="11"/>
  <c r="D288" i="12"/>
  <c r="L287" i="12"/>
  <c r="L286" i="12"/>
  <c r="H289" i="11"/>
  <c r="E289" i="11"/>
  <c r="J374" i="12"/>
  <c r="I289" i="11" l="1"/>
  <c r="G289" i="11" s="1"/>
  <c r="D290" i="11" s="1"/>
  <c r="D289" i="12"/>
  <c r="L288" i="12"/>
  <c r="A371" i="11"/>
  <c r="E371" i="11" s="1"/>
  <c r="J371" i="11" s="1"/>
  <c r="I371" i="11"/>
  <c r="G371" i="11" s="1"/>
  <c r="H371" i="11"/>
  <c r="K377" i="12"/>
  <c r="B377" i="12"/>
  <c r="C378" i="12"/>
  <c r="F377" i="12"/>
  <c r="C373" i="11"/>
  <c r="B372" i="11"/>
  <c r="K372" i="11"/>
  <c r="F372" i="11"/>
  <c r="A376" i="12"/>
  <c r="H372" i="11" l="1"/>
  <c r="A372" i="11"/>
  <c r="E372" i="11" s="1"/>
  <c r="J372" i="11" s="1"/>
  <c r="I372" i="11"/>
  <c r="G372" i="11" s="1"/>
  <c r="K378" i="12"/>
  <c r="F378" i="12"/>
  <c r="C379" i="12"/>
  <c r="B378" i="12"/>
  <c r="D291" i="11"/>
  <c r="L290" i="11" s="1"/>
  <c r="L289" i="11"/>
  <c r="K373" i="11"/>
  <c r="B373" i="11"/>
  <c r="C374" i="11"/>
  <c r="F373" i="11"/>
  <c r="A377" i="12"/>
  <c r="E377" i="12" s="1"/>
  <c r="I377" i="12"/>
  <c r="G377" i="12" s="1"/>
  <c r="H377" i="12"/>
  <c r="H289" i="12"/>
  <c r="E289" i="12"/>
  <c r="J289" i="11"/>
  <c r="I289" i="12" l="1"/>
  <c r="G289" i="12" s="1"/>
  <c r="D290" i="12" s="1"/>
  <c r="J377" i="12"/>
  <c r="C375" i="11"/>
  <c r="F374" i="11"/>
  <c r="B374" i="11"/>
  <c r="K374" i="11"/>
  <c r="A378" i="12"/>
  <c r="E378" i="12" s="1"/>
  <c r="J378" i="12" s="1"/>
  <c r="I378" i="12"/>
  <c r="G378" i="12" s="1"/>
  <c r="H378" i="12"/>
  <c r="A373" i="11"/>
  <c r="D292" i="11"/>
  <c r="L291" i="11" s="1"/>
  <c r="K379" i="12"/>
  <c r="B379" i="12"/>
  <c r="C380" i="12"/>
  <c r="F379" i="12"/>
  <c r="A379" i="12" l="1"/>
  <c r="K380" i="12"/>
  <c r="F380" i="12"/>
  <c r="B380" i="12"/>
  <c r="C381" i="12"/>
  <c r="A374" i="11"/>
  <c r="E374" i="11" s="1"/>
  <c r="H374" i="11"/>
  <c r="I374" i="11"/>
  <c r="G374" i="11" s="1"/>
  <c r="K375" i="11"/>
  <c r="B375" i="11"/>
  <c r="C376" i="11"/>
  <c r="F375" i="11"/>
  <c r="D291" i="12"/>
  <c r="L290" i="12" s="1"/>
  <c r="L289" i="12"/>
  <c r="H292" i="11"/>
  <c r="E292" i="11"/>
  <c r="J289" i="12"/>
  <c r="I292" i="11" l="1"/>
  <c r="G292" i="11" s="1"/>
  <c r="D293" i="11" s="1"/>
  <c r="I375" i="11"/>
  <c r="G375" i="11" s="1"/>
  <c r="A375" i="11"/>
  <c r="E375" i="11" s="1"/>
  <c r="J375" i="11" s="1"/>
  <c r="H375" i="11"/>
  <c r="J374" i="11"/>
  <c r="A380" i="12"/>
  <c r="E380" i="12" s="1"/>
  <c r="H380" i="12"/>
  <c r="I380" i="12"/>
  <c r="G380" i="12" s="1"/>
  <c r="L291" i="12"/>
  <c r="D292" i="12"/>
  <c r="F376" i="11"/>
  <c r="K376" i="11"/>
  <c r="B376" i="11"/>
  <c r="C377" i="11"/>
  <c r="C382" i="12"/>
  <c r="B381" i="12"/>
  <c r="K381" i="12"/>
  <c r="F381" i="12"/>
  <c r="A376" i="11" l="1"/>
  <c r="D294" i="11"/>
  <c r="L293" i="11"/>
  <c r="L292" i="11"/>
  <c r="K382" i="12"/>
  <c r="B382" i="12"/>
  <c r="F382" i="12"/>
  <c r="C383" i="12"/>
  <c r="A381" i="12"/>
  <c r="E381" i="12" s="1"/>
  <c r="H381" i="12"/>
  <c r="I381" i="12"/>
  <c r="G381" i="12" s="1"/>
  <c r="F377" i="11"/>
  <c r="C378" i="11"/>
  <c r="K377" i="11"/>
  <c r="B377" i="11"/>
  <c r="H292" i="12"/>
  <c r="E292" i="12"/>
  <c r="J380" i="12"/>
  <c r="J292" i="11"/>
  <c r="A377" i="11" l="1"/>
  <c r="E377" i="11" s="1"/>
  <c r="J377" i="11" s="1"/>
  <c r="I377" i="11"/>
  <c r="G377" i="11" s="1"/>
  <c r="H377" i="11"/>
  <c r="K383" i="12"/>
  <c r="C384" i="12"/>
  <c r="F383" i="12"/>
  <c r="B383" i="12"/>
  <c r="A382" i="12"/>
  <c r="D295" i="11"/>
  <c r="L294" i="11"/>
  <c r="I292" i="12"/>
  <c r="G292" i="12" s="1"/>
  <c r="D293" i="12" s="1"/>
  <c r="K378" i="11"/>
  <c r="F378" i="11"/>
  <c r="C379" i="11"/>
  <c r="B378" i="11"/>
  <c r="J381" i="12"/>
  <c r="I378" i="11" l="1"/>
  <c r="G378" i="11" s="1"/>
  <c r="A378" i="11"/>
  <c r="E378" i="11" s="1"/>
  <c r="J378" i="11" s="1"/>
  <c r="H378" i="11"/>
  <c r="D294" i="12"/>
  <c r="L293" i="12"/>
  <c r="L292" i="12"/>
  <c r="C380" i="11"/>
  <c r="B379" i="11"/>
  <c r="F379" i="11"/>
  <c r="K379" i="11"/>
  <c r="J292" i="12"/>
  <c r="H295" i="11"/>
  <c r="E295" i="11"/>
  <c r="A383" i="12"/>
  <c r="E383" i="12" s="1"/>
  <c r="J383" i="12" s="1"/>
  <c r="H383" i="12"/>
  <c r="I383" i="12"/>
  <c r="G383" i="12" s="1"/>
  <c r="C385" i="12"/>
  <c r="B384" i="12"/>
  <c r="F384" i="12"/>
  <c r="K384" i="12"/>
  <c r="A384" i="12" l="1"/>
  <c r="E384" i="12" s="1"/>
  <c r="J384" i="12" s="1"/>
  <c r="I384" i="12"/>
  <c r="G384" i="12" s="1"/>
  <c r="H384" i="12"/>
  <c r="K385" i="12"/>
  <c r="B385" i="12"/>
  <c r="C386" i="12"/>
  <c r="F385" i="12"/>
  <c r="I295" i="11"/>
  <c r="G295" i="11" s="1"/>
  <c r="D296" i="11" s="1"/>
  <c r="K380" i="11"/>
  <c r="F380" i="11"/>
  <c r="C381" i="11"/>
  <c r="B380" i="11"/>
  <c r="A379" i="11"/>
  <c r="D295" i="12"/>
  <c r="L294" i="12" s="1"/>
  <c r="A380" i="11" l="1"/>
  <c r="E380" i="11" s="1"/>
  <c r="J380" i="11" s="1"/>
  <c r="I380" i="11"/>
  <c r="G380" i="11" s="1"/>
  <c r="H380" i="11"/>
  <c r="D297" i="11"/>
  <c r="L296" i="11"/>
  <c r="L295" i="11"/>
  <c r="C382" i="11"/>
  <c r="B381" i="11"/>
  <c r="F381" i="11"/>
  <c r="K381" i="11"/>
  <c r="J295" i="11"/>
  <c r="K386" i="12"/>
  <c r="B386" i="12"/>
  <c r="C387" i="12"/>
  <c r="F386" i="12"/>
  <c r="H295" i="12"/>
  <c r="E295" i="12"/>
  <c r="A385" i="12"/>
  <c r="I295" i="12" l="1"/>
  <c r="G295" i="12" s="1"/>
  <c r="D296" i="12" s="1"/>
  <c r="A386" i="12"/>
  <c r="E386" i="12" s="1"/>
  <c r="H386" i="12"/>
  <c r="I386" i="12"/>
  <c r="G386" i="12" s="1"/>
  <c r="C383" i="11"/>
  <c r="B382" i="11"/>
  <c r="F382" i="11"/>
  <c r="K382" i="11"/>
  <c r="C388" i="12"/>
  <c r="B387" i="12"/>
  <c r="K387" i="12"/>
  <c r="F387" i="12"/>
  <c r="H381" i="11"/>
  <c r="A381" i="11"/>
  <c r="E381" i="11" s="1"/>
  <c r="I381" i="11"/>
  <c r="G381" i="11" s="1"/>
  <c r="D298" i="11"/>
  <c r="L297" i="11"/>
  <c r="K388" i="12" l="1"/>
  <c r="B388" i="12"/>
  <c r="C389" i="12"/>
  <c r="F388" i="12"/>
  <c r="H298" i="11"/>
  <c r="E298" i="11"/>
  <c r="J381" i="11"/>
  <c r="A387" i="12"/>
  <c r="E387" i="12" s="1"/>
  <c r="J387" i="12" s="1"/>
  <c r="H387" i="12"/>
  <c r="I387" i="12"/>
  <c r="G387" i="12" s="1"/>
  <c r="K383" i="11"/>
  <c r="F383" i="11"/>
  <c r="B383" i="11"/>
  <c r="C384" i="11"/>
  <c r="D297" i="12"/>
  <c r="L296" i="12"/>
  <c r="L295" i="12"/>
  <c r="A382" i="11"/>
  <c r="J386" i="12"/>
  <c r="J295" i="12"/>
  <c r="I298" i="11" l="1"/>
  <c r="G298" i="11" s="1"/>
  <c r="D299" i="11" s="1"/>
  <c r="A388" i="12"/>
  <c r="C385" i="11"/>
  <c r="B384" i="11"/>
  <c r="F384" i="11"/>
  <c r="K384" i="11"/>
  <c r="D298" i="12"/>
  <c r="L297" i="12" s="1"/>
  <c r="A383" i="11"/>
  <c r="E383" i="11" s="1"/>
  <c r="J383" i="11" s="1"/>
  <c r="I383" i="11"/>
  <c r="G383" i="11" s="1"/>
  <c r="H383" i="11"/>
  <c r="C390" i="12"/>
  <c r="F389" i="12"/>
  <c r="K389" i="12"/>
  <c r="B389" i="12"/>
  <c r="A389" i="12" l="1"/>
  <c r="E389" i="12" s="1"/>
  <c r="J389" i="12" s="1"/>
  <c r="I389" i="12"/>
  <c r="G389" i="12" s="1"/>
  <c r="H389" i="12"/>
  <c r="H384" i="11"/>
  <c r="A384" i="11"/>
  <c r="E384" i="11" s="1"/>
  <c r="J384" i="11" s="1"/>
  <c r="I384" i="11"/>
  <c r="G384" i="11" s="1"/>
  <c r="K390" i="12"/>
  <c r="F390" i="12"/>
  <c r="C391" i="12"/>
  <c r="B390" i="12"/>
  <c r="K385" i="11"/>
  <c r="F385" i="11"/>
  <c r="C386" i="11"/>
  <c r="B385" i="11"/>
  <c r="D300" i="11"/>
  <c r="L299" i="11"/>
  <c r="L298" i="11"/>
  <c r="H298" i="12"/>
  <c r="E298" i="12"/>
  <c r="J298" i="11"/>
  <c r="A385" i="11" l="1"/>
  <c r="H390" i="12"/>
  <c r="I390" i="12"/>
  <c r="G390" i="12" s="1"/>
  <c r="A390" i="12"/>
  <c r="E390" i="12" s="1"/>
  <c r="J298" i="12"/>
  <c r="I298" i="12"/>
  <c r="G298" i="12" s="1"/>
  <c r="D299" i="12" s="1"/>
  <c r="D301" i="11"/>
  <c r="L300" i="11" s="1"/>
  <c r="C387" i="11"/>
  <c r="F386" i="11"/>
  <c r="K386" i="11"/>
  <c r="B386" i="11"/>
  <c r="K391" i="12"/>
  <c r="B391" i="12"/>
  <c r="F391" i="12"/>
  <c r="C392" i="12"/>
  <c r="A391" i="12" l="1"/>
  <c r="A386" i="11"/>
  <c r="E386" i="11" s="1"/>
  <c r="H386" i="11"/>
  <c r="I386" i="11"/>
  <c r="G386" i="11" s="1"/>
  <c r="L299" i="12"/>
  <c r="D300" i="12"/>
  <c r="L298" i="12"/>
  <c r="J390" i="12"/>
  <c r="C393" i="12"/>
  <c r="B392" i="12"/>
  <c r="K392" i="12"/>
  <c r="F392" i="12"/>
  <c r="C388" i="11"/>
  <c r="B387" i="11"/>
  <c r="K387" i="11"/>
  <c r="F387" i="11"/>
  <c r="H301" i="11"/>
  <c r="E301" i="11"/>
  <c r="J301" i="11" l="1"/>
  <c r="I301" i="11"/>
  <c r="G301" i="11" s="1"/>
  <c r="D302" i="11" s="1"/>
  <c r="A387" i="11"/>
  <c r="E387" i="11" s="1"/>
  <c r="J387" i="11" s="1"/>
  <c r="I387" i="11"/>
  <c r="G387" i="11" s="1"/>
  <c r="H387" i="11"/>
  <c r="A392" i="12"/>
  <c r="E392" i="12" s="1"/>
  <c r="H392" i="12"/>
  <c r="I392" i="12"/>
  <c r="G392" i="12" s="1"/>
  <c r="D301" i="12"/>
  <c r="J386" i="11"/>
  <c r="K388" i="11"/>
  <c r="B388" i="11"/>
  <c r="C389" i="11"/>
  <c r="F388" i="11"/>
  <c r="K393" i="12"/>
  <c r="F393" i="12"/>
  <c r="B393" i="12"/>
  <c r="C394" i="12"/>
  <c r="A388" i="11" l="1"/>
  <c r="H301" i="12"/>
  <c r="E301" i="12"/>
  <c r="A393" i="12"/>
  <c r="E393" i="12" s="1"/>
  <c r="H393" i="12"/>
  <c r="I393" i="12"/>
  <c r="G393" i="12" s="1"/>
  <c r="F389" i="11"/>
  <c r="B389" i="11"/>
  <c r="C390" i="11"/>
  <c r="K389" i="11"/>
  <c r="L300" i="12"/>
  <c r="J392" i="12"/>
  <c r="D303" i="11"/>
  <c r="L302" i="11" s="1"/>
  <c r="L301" i="11"/>
  <c r="C395" i="12"/>
  <c r="F394" i="12"/>
  <c r="B394" i="12"/>
  <c r="K394" i="12"/>
  <c r="A394" i="12" l="1"/>
  <c r="C396" i="12"/>
  <c r="B395" i="12"/>
  <c r="F395" i="12"/>
  <c r="K395" i="12"/>
  <c r="H389" i="11"/>
  <c r="I389" i="11"/>
  <c r="G389" i="11" s="1"/>
  <c r="A389" i="11"/>
  <c r="E389" i="11" s="1"/>
  <c r="J393" i="12"/>
  <c r="D304" i="11"/>
  <c r="L303" i="11"/>
  <c r="K390" i="11"/>
  <c r="F390" i="11"/>
  <c r="C391" i="11"/>
  <c r="B390" i="11"/>
  <c r="I301" i="12"/>
  <c r="G301" i="12" s="1"/>
  <c r="D302" i="12" s="1"/>
  <c r="A390" i="11" l="1"/>
  <c r="E390" i="11" s="1"/>
  <c r="J390" i="11" s="1"/>
  <c r="I390" i="11"/>
  <c r="G390" i="11" s="1"/>
  <c r="H390" i="11"/>
  <c r="J301" i="12"/>
  <c r="C392" i="11"/>
  <c r="B391" i="11"/>
  <c r="K391" i="11"/>
  <c r="F391" i="11"/>
  <c r="H304" i="11"/>
  <c r="E304" i="11"/>
  <c r="J389" i="11"/>
  <c r="C397" i="12"/>
  <c r="B396" i="12"/>
  <c r="K396" i="12"/>
  <c r="F396" i="12"/>
  <c r="D303" i="12"/>
  <c r="L301" i="12"/>
  <c r="A395" i="12"/>
  <c r="E395" i="12" s="1"/>
  <c r="I395" i="12"/>
  <c r="G395" i="12" s="1"/>
  <c r="H395" i="12"/>
  <c r="I304" i="11" l="1"/>
  <c r="G304" i="11" s="1"/>
  <c r="D305" i="11" s="1"/>
  <c r="A391" i="11"/>
  <c r="D304" i="12"/>
  <c r="C398" i="12"/>
  <c r="B397" i="12"/>
  <c r="F397" i="12"/>
  <c r="K397" i="12"/>
  <c r="J395" i="12"/>
  <c r="L302" i="12"/>
  <c r="I396" i="12"/>
  <c r="G396" i="12" s="1"/>
  <c r="A396" i="12"/>
  <c r="E396" i="12" s="1"/>
  <c r="J396" i="12" s="1"/>
  <c r="H396" i="12"/>
  <c r="K392" i="11"/>
  <c r="B392" i="11"/>
  <c r="F392" i="11"/>
  <c r="C393" i="11"/>
  <c r="A397" i="12" l="1"/>
  <c r="H304" i="12"/>
  <c r="E304" i="12"/>
  <c r="K393" i="11"/>
  <c r="F393" i="11"/>
  <c r="B393" i="11"/>
  <c r="C394" i="11"/>
  <c r="H392" i="11"/>
  <c r="I392" i="11"/>
  <c r="G392" i="11" s="1"/>
  <c r="A392" i="11"/>
  <c r="E392" i="11" s="1"/>
  <c r="J392" i="11" s="1"/>
  <c r="C399" i="12"/>
  <c r="F398" i="12"/>
  <c r="K398" i="12"/>
  <c r="B398" i="12"/>
  <c r="L303" i="12"/>
  <c r="D306" i="11"/>
  <c r="L304" i="11"/>
  <c r="J304" i="11"/>
  <c r="D307" i="11" l="1"/>
  <c r="L306" i="11" s="1"/>
  <c r="A398" i="12"/>
  <c r="E398" i="12" s="1"/>
  <c r="H398" i="12"/>
  <c r="I398" i="12"/>
  <c r="G398" i="12" s="1"/>
  <c r="I393" i="11"/>
  <c r="G393" i="11" s="1"/>
  <c r="A393" i="11"/>
  <c r="E393" i="11" s="1"/>
  <c r="J393" i="11" s="1"/>
  <c r="H393" i="11"/>
  <c r="L305" i="11"/>
  <c r="F399" i="12"/>
  <c r="B399" i="12"/>
  <c r="K399" i="12"/>
  <c r="C400" i="12"/>
  <c r="K394" i="11"/>
  <c r="C395" i="11"/>
  <c r="B394" i="11"/>
  <c r="F394" i="11"/>
  <c r="I304" i="12"/>
  <c r="G304" i="12" s="1"/>
  <c r="D305" i="12" s="1"/>
  <c r="D306" i="12" l="1"/>
  <c r="L305" i="12" s="1"/>
  <c r="L304" i="12"/>
  <c r="F395" i="11"/>
  <c r="B395" i="11"/>
  <c r="K395" i="11"/>
  <c r="C396" i="11"/>
  <c r="I399" i="12"/>
  <c r="G399" i="12" s="1"/>
  <c r="H399" i="12"/>
  <c r="A399" i="12"/>
  <c r="E399" i="12" s="1"/>
  <c r="J399" i="12" s="1"/>
  <c r="J304" i="12"/>
  <c r="A394" i="11"/>
  <c r="K400" i="12"/>
  <c r="C401" i="12"/>
  <c r="F400" i="12"/>
  <c r="B400" i="12"/>
  <c r="J398" i="12"/>
  <c r="H307" i="11"/>
  <c r="E307" i="11"/>
  <c r="A400" i="12" l="1"/>
  <c r="K401" i="12"/>
  <c r="F401" i="12"/>
  <c r="B401" i="12"/>
  <c r="C402" i="12"/>
  <c r="J307" i="11"/>
  <c r="I307" i="11"/>
  <c r="G307" i="11" s="1"/>
  <c r="D308" i="11" s="1"/>
  <c r="C397" i="11"/>
  <c r="B396" i="11"/>
  <c r="F396" i="11"/>
  <c r="K396" i="11"/>
  <c r="H395" i="11"/>
  <c r="I395" i="11"/>
  <c r="G395" i="11" s="1"/>
  <c r="A395" i="11"/>
  <c r="E395" i="11" s="1"/>
  <c r="J395" i="11" s="1"/>
  <c r="D307" i="12"/>
  <c r="L306" i="12"/>
  <c r="A401" i="12" l="1"/>
  <c r="E401" i="12" s="1"/>
  <c r="J401" i="12" s="1"/>
  <c r="I401" i="12"/>
  <c r="G401" i="12" s="1"/>
  <c r="H401" i="12"/>
  <c r="H307" i="12"/>
  <c r="E307" i="12"/>
  <c r="I396" i="11"/>
  <c r="G396" i="11" s="1"/>
  <c r="A396" i="11"/>
  <c r="E396" i="11" s="1"/>
  <c r="J396" i="11" s="1"/>
  <c r="H396" i="11"/>
  <c r="D309" i="11"/>
  <c r="L308" i="11" s="1"/>
  <c r="L307" i="11"/>
  <c r="K402" i="12"/>
  <c r="B402" i="12"/>
  <c r="C403" i="12"/>
  <c r="F402" i="12"/>
  <c r="K397" i="11"/>
  <c r="F397" i="11"/>
  <c r="B397" i="11"/>
  <c r="C398" i="11"/>
  <c r="C399" i="11" l="1"/>
  <c r="F398" i="11"/>
  <c r="K398" i="11"/>
  <c r="B398" i="11"/>
  <c r="A397" i="11"/>
  <c r="K403" i="12"/>
  <c r="F403" i="12"/>
  <c r="B403" i="12"/>
  <c r="C404" i="12"/>
  <c r="A402" i="12"/>
  <c r="E402" i="12" s="1"/>
  <c r="J402" i="12" s="1"/>
  <c r="I402" i="12"/>
  <c r="G402" i="12" s="1"/>
  <c r="H402" i="12"/>
  <c r="D310" i="11"/>
  <c r="I307" i="12"/>
  <c r="G307" i="12" s="1"/>
  <c r="D308" i="12" s="1"/>
  <c r="D309" i="12" l="1"/>
  <c r="L307" i="12"/>
  <c r="H310" i="11"/>
  <c r="E310" i="11"/>
  <c r="A403" i="12"/>
  <c r="A398" i="11"/>
  <c r="E398" i="11" s="1"/>
  <c r="H398" i="11"/>
  <c r="I398" i="11"/>
  <c r="G398" i="11" s="1"/>
  <c r="J307" i="12"/>
  <c r="L309" i="11"/>
  <c r="K404" i="12"/>
  <c r="B404" i="12"/>
  <c r="F404" i="12"/>
  <c r="C405" i="12"/>
  <c r="C400" i="11"/>
  <c r="B399" i="11"/>
  <c r="F399" i="11"/>
  <c r="K399" i="11"/>
  <c r="K400" i="11" l="1"/>
  <c r="B400" i="11"/>
  <c r="F400" i="11"/>
  <c r="C401" i="11"/>
  <c r="I399" i="11"/>
  <c r="G399" i="11" s="1"/>
  <c r="A399" i="11"/>
  <c r="E399" i="11" s="1"/>
  <c r="J399" i="11" s="1"/>
  <c r="H399" i="11"/>
  <c r="D310" i="12"/>
  <c r="C406" i="12"/>
  <c r="F405" i="12"/>
  <c r="K405" i="12"/>
  <c r="B405" i="12"/>
  <c r="H404" i="12"/>
  <c r="A404" i="12"/>
  <c r="E404" i="12" s="1"/>
  <c r="J404" i="12" s="1"/>
  <c r="I404" i="12"/>
  <c r="G404" i="12" s="1"/>
  <c r="J398" i="11"/>
  <c r="I310" i="11"/>
  <c r="G310" i="11" s="1"/>
  <c r="D311" i="11" s="1"/>
  <c r="L308" i="12"/>
  <c r="I405" i="12" l="1"/>
  <c r="G405" i="12" s="1"/>
  <c r="H405" i="12"/>
  <c r="A405" i="12"/>
  <c r="E405" i="12" s="1"/>
  <c r="J405" i="12" s="1"/>
  <c r="A400" i="11"/>
  <c r="D312" i="11"/>
  <c r="L311" i="11"/>
  <c r="L310" i="11"/>
  <c r="H310" i="12"/>
  <c r="E310" i="12"/>
  <c r="C402" i="11"/>
  <c r="B401" i="11"/>
  <c r="F401" i="11"/>
  <c r="K401" i="11"/>
  <c r="J310" i="11"/>
  <c r="C407" i="12"/>
  <c r="F406" i="12"/>
  <c r="B406" i="12"/>
  <c r="K406" i="12"/>
  <c r="L309" i="12"/>
  <c r="A406" i="12" l="1"/>
  <c r="K402" i="11"/>
  <c r="B402" i="11"/>
  <c r="F402" i="11"/>
  <c r="C403" i="11"/>
  <c r="C408" i="12"/>
  <c r="B407" i="12"/>
  <c r="K407" i="12"/>
  <c r="F407" i="12"/>
  <c r="H401" i="11"/>
  <c r="I401" i="11"/>
  <c r="G401" i="11" s="1"/>
  <c r="A401" i="11"/>
  <c r="E401" i="11" s="1"/>
  <c r="J401" i="11" s="1"/>
  <c r="I310" i="12"/>
  <c r="G310" i="12" s="1"/>
  <c r="D311" i="12" s="1"/>
  <c r="D313" i="11"/>
  <c r="L312" i="11"/>
  <c r="I402" i="11" l="1"/>
  <c r="G402" i="11" s="1"/>
  <c r="A402" i="11"/>
  <c r="E402" i="11" s="1"/>
  <c r="J402" i="11" s="1"/>
  <c r="H402" i="11"/>
  <c r="H313" i="11"/>
  <c r="E313" i="11"/>
  <c r="J310" i="12"/>
  <c r="A407" i="12"/>
  <c r="E407" i="12" s="1"/>
  <c r="H407" i="12"/>
  <c r="I407" i="12"/>
  <c r="G407" i="12" s="1"/>
  <c r="D312" i="12"/>
  <c r="L311" i="12"/>
  <c r="L310" i="12"/>
  <c r="K408" i="12"/>
  <c r="C409" i="12"/>
  <c r="B408" i="12"/>
  <c r="F408" i="12"/>
  <c r="C404" i="11"/>
  <c r="B403" i="11"/>
  <c r="K403" i="11"/>
  <c r="F403" i="11"/>
  <c r="A403" i="11" l="1"/>
  <c r="K409" i="12"/>
  <c r="B409" i="12"/>
  <c r="F409" i="12"/>
  <c r="C410" i="12"/>
  <c r="D313" i="12"/>
  <c r="L312" i="12"/>
  <c r="K404" i="11"/>
  <c r="F404" i="11"/>
  <c r="C405" i="11"/>
  <c r="B404" i="11"/>
  <c r="A408" i="12"/>
  <c r="E408" i="12" s="1"/>
  <c r="I408" i="12"/>
  <c r="G408" i="12" s="1"/>
  <c r="H408" i="12"/>
  <c r="J407" i="12"/>
  <c r="I313" i="11"/>
  <c r="G313" i="11" s="1"/>
  <c r="D314" i="11" s="1"/>
  <c r="A409" i="12" l="1"/>
  <c r="J313" i="11"/>
  <c r="J408" i="12"/>
  <c r="F405" i="11"/>
  <c r="C406" i="11"/>
  <c r="K405" i="11"/>
  <c r="B405" i="11"/>
  <c r="H313" i="12"/>
  <c r="E313" i="12"/>
  <c r="D315" i="11"/>
  <c r="L314" i="11"/>
  <c r="L313" i="11"/>
  <c r="A404" i="11"/>
  <c r="E404" i="11" s="1"/>
  <c r="J404" i="11" s="1"/>
  <c r="I404" i="11"/>
  <c r="G404" i="11" s="1"/>
  <c r="H404" i="11"/>
  <c r="K410" i="12"/>
  <c r="B410" i="12"/>
  <c r="F410" i="12"/>
  <c r="C411" i="12"/>
  <c r="A410" i="12" l="1"/>
  <c r="E410" i="12" s="1"/>
  <c r="H410" i="12"/>
  <c r="I410" i="12"/>
  <c r="G410" i="12" s="1"/>
  <c r="A405" i="11"/>
  <c r="E405" i="11" s="1"/>
  <c r="I405" i="11"/>
  <c r="G405" i="11" s="1"/>
  <c r="H405" i="11"/>
  <c r="C407" i="11"/>
  <c r="F406" i="11"/>
  <c r="B406" i="11"/>
  <c r="K406" i="11"/>
  <c r="D316" i="11"/>
  <c r="K411" i="12"/>
  <c r="F411" i="12"/>
  <c r="C412" i="12"/>
  <c r="B411" i="12"/>
  <c r="J313" i="12"/>
  <c r="I313" i="12"/>
  <c r="G313" i="12" s="1"/>
  <c r="D314" i="12" s="1"/>
  <c r="K412" i="12" l="1"/>
  <c r="F412" i="12"/>
  <c r="B412" i="12"/>
  <c r="C413" i="12"/>
  <c r="H316" i="11"/>
  <c r="E316" i="11"/>
  <c r="D315" i="12"/>
  <c r="L314" i="12" s="1"/>
  <c r="L313" i="12"/>
  <c r="A411" i="12"/>
  <c r="E411" i="12" s="1"/>
  <c r="I411" i="12"/>
  <c r="G411" i="12" s="1"/>
  <c r="H411" i="12"/>
  <c r="L315" i="11"/>
  <c r="J405" i="11"/>
  <c r="A406" i="11"/>
  <c r="K407" i="11"/>
  <c r="F407" i="11"/>
  <c r="B407" i="11"/>
  <c r="C408" i="11"/>
  <c r="J410" i="12"/>
  <c r="C409" i="11" l="1"/>
  <c r="F408" i="11"/>
  <c r="B408" i="11"/>
  <c r="K408" i="11"/>
  <c r="A407" i="11"/>
  <c r="E407" i="11" s="1"/>
  <c r="J407" i="11" s="1"/>
  <c r="I407" i="11"/>
  <c r="G407" i="11" s="1"/>
  <c r="H407" i="11"/>
  <c r="J411" i="12"/>
  <c r="J316" i="11"/>
  <c r="I316" i="11"/>
  <c r="G316" i="11" s="1"/>
  <c r="D317" i="11" s="1"/>
  <c r="C414" i="12"/>
  <c r="B413" i="12"/>
  <c r="K413" i="12"/>
  <c r="F413" i="12"/>
  <c r="D316" i="12"/>
  <c r="L315" i="12" s="1"/>
  <c r="A412" i="12"/>
  <c r="A413" i="12" l="1"/>
  <c r="E413" i="12" s="1"/>
  <c r="H413" i="12"/>
  <c r="I413" i="12"/>
  <c r="G413" i="12" s="1"/>
  <c r="D318" i="11"/>
  <c r="L317" i="11"/>
  <c r="L316" i="11"/>
  <c r="H316" i="12"/>
  <c r="E316" i="12"/>
  <c r="C415" i="12"/>
  <c r="F414" i="12"/>
  <c r="B414" i="12"/>
  <c r="K414" i="12"/>
  <c r="H408" i="11"/>
  <c r="I408" i="11"/>
  <c r="G408" i="11" s="1"/>
  <c r="A408" i="11"/>
  <c r="E408" i="11" s="1"/>
  <c r="J408" i="11" s="1"/>
  <c r="C410" i="11"/>
  <c r="B409" i="11"/>
  <c r="F409" i="11"/>
  <c r="K409" i="11"/>
  <c r="A414" i="12" l="1"/>
  <c r="E414" i="12" s="1"/>
  <c r="H414" i="12"/>
  <c r="I414" i="12"/>
  <c r="G414" i="12" s="1"/>
  <c r="F415" i="12"/>
  <c r="B415" i="12"/>
  <c r="K415" i="12"/>
  <c r="C416" i="12"/>
  <c r="J413" i="12"/>
  <c r="A409" i="11"/>
  <c r="C411" i="11"/>
  <c r="F410" i="11"/>
  <c r="B410" i="11"/>
  <c r="K410" i="11"/>
  <c r="I316" i="12"/>
  <c r="G316" i="12" s="1"/>
  <c r="D317" i="12" s="1"/>
  <c r="D319" i="11"/>
  <c r="L318" i="11"/>
  <c r="D318" i="12" l="1"/>
  <c r="L317" i="12" s="1"/>
  <c r="L316" i="12"/>
  <c r="K416" i="12"/>
  <c r="F416" i="12"/>
  <c r="C417" i="12"/>
  <c r="B416" i="12"/>
  <c r="H319" i="11"/>
  <c r="E319" i="11"/>
  <c r="J316" i="12"/>
  <c r="A410" i="11"/>
  <c r="E410" i="11" s="1"/>
  <c r="J410" i="11" s="1"/>
  <c r="I410" i="11"/>
  <c r="G410" i="11" s="1"/>
  <c r="H410" i="11"/>
  <c r="C412" i="11"/>
  <c r="B411" i="11"/>
  <c r="K411" i="11"/>
  <c r="F411" i="11"/>
  <c r="A415" i="12"/>
  <c r="J414" i="12"/>
  <c r="I411" i="11" l="1"/>
  <c r="G411" i="11" s="1"/>
  <c r="H411" i="11"/>
  <c r="A411" i="11"/>
  <c r="E411" i="11" s="1"/>
  <c r="J411" i="11" s="1"/>
  <c r="I319" i="11"/>
  <c r="G319" i="11" s="1"/>
  <c r="D320" i="11" s="1"/>
  <c r="A416" i="12"/>
  <c r="E416" i="12" s="1"/>
  <c r="H416" i="12"/>
  <c r="I416" i="12"/>
  <c r="G416" i="12" s="1"/>
  <c r="C413" i="11"/>
  <c r="F412" i="11"/>
  <c r="B412" i="11"/>
  <c r="K412" i="11"/>
  <c r="K417" i="12"/>
  <c r="F417" i="12"/>
  <c r="C418" i="12"/>
  <c r="B417" i="12"/>
  <c r="D319" i="12"/>
  <c r="A412" i="11" l="1"/>
  <c r="F413" i="11"/>
  <c r="C414" i="11"/>
  <c r="B413" i="11"/>
  <c r="K413" i="11"/>
  <c r="J416" i="12"/>
  <c r="J319" i="11"/>
  <c r="H319" i="12"/>
  <c r="E319" i="12"/>
  <c r="K418" i="12"/>
  <c r="F418" i="12"/>
  <c r="B418" i="12"/>
  <c r="C419" i="12"/>
  <c r="L318" i="12"/>
  <c r="I417" i="12"/>
  <c r="G417" i="12" s="1"/>
  <c r="A417" i="12"/>
  <c r="E417" i="12" s="1"/>
  <c r="H417" i="12"/>
  <c r="D321" i="11"/>
  <c r="L320" i="11"/>
  <c r="L319" i="11"/>
  <c r="D322" i="11" l="1"/>
  <c r="L321" i="11" s="1"/>
  <c r="J417" i="12"/>
  <c r="A418" i="12"/>
  <c r="A413" i="11"/>
  <c r="E413" i="11" s="1"/>
  <c r="I413" i="11"/>
  <c r="G413" i="11" s="1"/>
  <c r="H413" i="11"/>
  <c r="K419" i="12"/>
  <c r="F419" i="12"/>
  <c r="C420" i="12"/>
  <c r="B419" i="12"/>
  <c r="J319" i="12"/>
  <c r="I319" i="12"/>
  <c r="G319" i="12" s="1"/>
  <c r="D320" i="12" s="1"/>
  <c r="C415" i="11"/>
  <c r="F414" i="11"/>
  <c r="B414" i="11"/>
  <c r="K414" i="11"/>
  <c r="K415" i="11" l="1"/>
  <c r="B415" i="11"/>
  <c r="C416" i="11"/>
  <c r="F415" i="11"/>
  <c r="H414" i="11"/>
  <c r="I414" i="11"/>
  <c r="G414" i="11" s="1"/>
  <c r="A414" i="11"/>
  <c r="E414" i="11" s="1"/>
  <c r="J414" i="11" s="1"/>
  <c r="K420" i="12"/>
  <c r="B420" i="12"/>
  <c r="F420" i="12"/>
  <c r="C421" i="12"/>
  <c r="D321" i="12"/>
  <c r="L319" i="12"/>
  <c r="A419" i="12"/>
  <c r="E419" i="12" s="1"/>
  <c r="J419" i="12" s="1"/>
  <c r="H419" i="12"/>
  <c r="I419" i="12"/>
  <c r="G419" i="12" s="1"/>
  <c r="J413" i="11"/>
  <c r="H322" i="11"/>
  <c r="E322" i="11"/>
  <c r="D322" i="12" l="1"/>
  <c r="L321" i="12"/>
  <c r="A415" i="11"/>
  <c r="K421" i="12"/>
  <c r="B421" i="12"/>
  <c r="C422" i="12"/>
  <c r="F421" i="12"/>
  <c r="I420" i="12"/>
  <c r="G420" i="12" s="1"/>
  <c r="H420" i="12"/>
  <c r="A420" i="12"/>
  <c r="E420" i="12" s="1"/>
  <c r="J420" i="12" s="1"/>
  <c r="J322" i="11"/>
  <c r="I322" i="11"/>
  <c r="G322" i="11" s="1"/>
  <c r="D323" i="11" s="1"/>
  <c r="L320" i="12"/>
  <c r="C417" i="11"/>
  <c r="F416" i="11"/>
  <c r="B416" i="11"/>
  <c r="K416" i="11"/>
  <c r="A416" i="11" l="1"/>
  <c r="E416" i="11" s="1"/>
  <c r="H416" i="11"/>
  <c r="I416" i="11"/>
  <c r="G416" i="11" s="1"/>
  <c r="K417" i="11"/>
  <c r="F417" i="11"/>
  <c r="C418" i="11"/>
  <c r="B417" i="11"/>
  <c r="D324" i="11"/>
  <c r="L323" i="11"/>
  <c r="L322" i="11"/>
  <c r="C423" i="12"/>
  <c r="B422" i="12"/>
  <c r="K422" i="12"/>
  <c r="F422" i="12"/>
  <c r="A421" i="12"/>
  <c r="H322" i="12"/>
  <c r="E322" i="12"/>
  <c r="I322" i="12" l="1"/>
  <c r="G322" i="12" s="1"/>
  <c r="D323" i="12" s="1"/>
  <c r="A422" i="12"/>
  <c r="E422" i="12" s="1"/>
  <c r="H422" i="12"/>
  <c r="I422" i="12"/>
  <c r="G422" i="12" s="1"/>
  <c r="D325" i="11"/>
  <c r="L324" i="11" s="1"/>
  <c r="K418" i="11"/>
  <c r="F418" i="11"/>
  <c r="C419" i="11"/>
  <c r="B418" i="11"/>
  <c r="C424" i="12"/>
  <c r="K423" i="12"/>
  <c r="F423" i="12"/>
  <c r="B423" i="12"/>
  <c r="H417" i="11"/>
  <c r="I417" i="11"/>
  <c r="G417" i="11" s="1"/>
  <c r="A417" i="11"/>
  <c r="E417" i="11" s="1"/>
  <c r="J417" i="11" s="1"/>
  <c r="J416" i="11"/>
  <c r="F424" i="12" l="1"/>
  <c r="B424" i="12"/>
  <c r="C425" i="12"/>
  <c r="K424" i="12"/>
  <c r="I423" i="12"/>
  <c r="G423" i="12" s="1"/>
  <c r="H423" i="12"/>
  <c r="A423" i="12"/>
  <c r="E423" i="12" s="1"/>
  <c r="J423" i="12" s="1"/>
  <c r="C420" i="11"/>
  <c r="F419" i="11"/>
  <c r="B419" i="11"/>
  <c r="K419" i="11"/>
  <c r="L323" i="12"/>
  <c r="D324" i="12"/>
  <c r="L322" i="12"/>
  <c r="A418" i="11"/>
  <c r="H325" i="11"/>
  <c r="E325" i="11"/>
  <c r="J422" i="12"/>
  <c r="J322" i="12"/>
  <c r="A419" i="11" l="1"/>
  <c r="E419" i="11" s="1"/>
  <c r="H419" i="11"/>
  <c r="I419" i="11"/>
  <c r="G419" i="11" s="1"/>
  <c r="K420" i="11"/>
  <c r="B420" i="11"/>
  <c r="F420" i="11"/>
  <c r="C421" i="11"/>
  <c r="A424" i="12"/>
  <c r="J325" i="11"/>
  <c r="I325" i="11"/>
  <c r="G325" i="11" s="1"/>
  <c r="D326" i="11" s="1"/>
  <c r="D325" i="12"/>
  <c r="C426" i="12"/>
  <c r="F425" i="12"/>
  <c r="K425" i="12"/>
  <c r="B425" i="12"/>
  <c r="K426" i="12" l="1"/>
  <c r="B426" i="12"/>
  <c r="F426" i="12"/>
  <c r="C427" i="12"/>
  <c r="H325" i="12"/>
  <c r="E325" i="12"/>
  <c r="A425" i="12"/>
  <c r="E425" i="12" s="1"/>
  <c r="J425" i="12" s="1"/>
  <c r="I425" i="12"/>
  <c r="G425" i="12" s="1"/>
  <c r="H425" i="12"/>
  <c r="L324" i="12"/>
  <c r="D327" i="11"/>
  <c r="L325" i="11"/>
  <c r="K421" i="11"/>
  <c r="B421" i="11"/>
  <c r="C422" i="11"/>
  <c r="F421" i="11"/>
  <c r="I420" i="11"/>
  <c r="G420" i="11" s="1"/>
  <c r="A420" i="11"/>
  <c r="E420" i="11" s="1"/>
  <c r="J420" i="11" s="1"/>
  <c r="H420" i="11"/>
  <c r="J419" i="11"/>
  <c r="I325" i="12" l="1"/>
  <c r="G325" i="12" s="1"/>
  <c r="D326" i="12" s="1"/>
  <c r="C428" i="12"/>
  <c r="F427" i="12"/>
  <c r="B427" i="12"/>
  <c r="K427" i="12"/>
  <c r="A426" i="12"/>
  <c r="E426" i="12" s="1"/>
  <c r="J426" i="12" s="1"/>
  <c r="H426" i="12"/>
  <c r="I426" i="12"/>
  <c r="G426" i="12" s="1"/>
  <c r="A421" i="11"/>
  <c r="L327" i="11"/>
  <c r="D328" i="11"/>
  <c r="K422" i="11"/>
  <c r="F422" i="11"/>
  <c r="B422" i="11"/>
  <c r="C423" i="11"/>
  <c r="L326" i="11"/>
  <c r="F423" i="11" l="1"/>
  <c r="K423" i="11"/>
  <c r="C424" i="11"/>
  <c r="B423" i="11"/>
  <c r="H328" i="11"/>
  <c r="E328" i="11"/>
  <c r="D327" i="12"/>
  <c r="L325" i="12"/>
  <c r="A422" i="11"/>
  <c r="E422" i="11" s="1"/>
  <c r="H422" i="11"/>
  <c r="I422" i="11"/>
  <c r="G422" i="11" s="1"/>
  <c r="A427" i="12"/>
  <c r="K428" i="12"/>
  <c r="B428" i="12"/>
  <c r="F428" i="12"/>
  <c r="C429" i="12"/>
  <c r="J325" i="12"/>
  <c r="C430" i="12" l="1"/>
  <c r="F429" i="12"/>
  <c r="K429" i="12"/>
  <c r="B429" i="12"/>
  <c r="A428" i="12"/>
  <c r="E428" i="12" s="1"/>
  <c r="H428" i="12"/>
  <c r="I428" i="12"/>
  <c r="G428" i="12" s="1"/>
  <c r="I328" i="11"/>
  <c r="G328" i="11" s="1"/>
  <c r="D329" i="11" s="1"/>
  <c r="I423" i="11"/>
  <c r="G423" i="11" s="1"/>
  <c r="A423" i="11"/>
  <c r="E423" i="11" s="1"/>
  <c r="J423" i="11" s="1"/>
  <c r="H423" i="11"/>
  <c r="D328" i="12"/>
  <c r="L327" i="12" s="1"/>
  <c r="J422" i="11"/>
  <c r="L326" i="12"/>
  <c r="K424" i="11"/>
  <c r="B424" i="11"/>
  <c r="F424" i="11"/>
  <c r="C425" i="11"/>
  <c r="C426" i="11" l="1"/>
  <c r="B425" i="11"/>
  <c r="K425" i="11"/>
  <c r="F425" i="11"/>
  <c r="J328" i="11"/>
  <c r="A429" i="12"/>
  <c r="E429" i="12" s="1"/>
  <c r="H429" i="12"/>
  <c r="I429" i="12"/>
  <c r="G429" i="12" s="1"/>
  <c r="A424" i="11"/>
  <c r="H328" i="12"/>
  <c r="E328" i="12"/>
  <c r="D330" i="11"/>
  <c r="L329" i="11"/>
  <c r="L328" i="11"/>
  <c r="J428" i="12"/>
  <c r="C431" i="12"/>
  <c r="F430" i="12"/>
  <c r="B430" i="12"/>
  <c r="K430" i="12"/>
  <c r="A430" i="12" l="1"/>
  <c r="K431" i="12"/>
  <c r="B431" i="12"/>
  <c r="F431" i="12"/>
  <c r="C432" i="12"/>
  <c r="D331" i="11"/>
  <c r="L330" i="11"/>
  <c r="J429" i="12"/>
  <c r="A425" i="11"/>
  <c r="E425" i="11" s="1"/>
  <c r="J425" i="11" s="1"/>
  <c r="I425" i="11"/>
  <c r="G425" i="11" s="1"/>
  <c r="H425" i="11"/>
  <c r="I328" i="12"/>
  <c r="G328" i="12" s="1"/>
  <c r="D329" i="12" s="1"/>
  <c r="C427" i="11"/>
  <c r="B426" i="11"/>
  <c r="F426" i="11"/>
  <c r="K426" i="11"/>
  <c r="C428" i="11" l="1"/>
  <c r="F427" i="11"/>
  <c r="K427" i="11"/>
  <c r="B427" i="11"/>
  <c r="H431" i="12"/>
  <c r="A431" i="12"/>
  <c r="E431" i="12" s="1"/>
  <c r="J431" i="12" s="1"/>
  <c r="I431" i="12"/>
  <c r="G431" i="12" s="1"/>
  <c r="I426" i="11"/>
  <c r="G426" i="11" s="1"/>
  <c r="A426" i="11"/>
  <c r="E426" i="11" s="1"/>
  <c r="H426" i="11"/>
  <c r="J328" i="12"/>
  <c r="H331" i="11"/>
  <c r="E331" i="11"/>
  <c r="L329" i="12"/>
  <c r="D330" i="12"/>
  <c r="L328" i="12"/>
  <c r="K432" i="12"/>
  <c r="F432" i="12"/>
  <c r="B432" i="12"/>
  <c r="C433" i="12"/>
  <c r="A427" i="11" l="1"/>
  <c r="K433" i="12"/>
  <c r="B433" i="12"/>
  <c r="C434" i="12"/>
  <c r="F433" i="12"/>
  <c r="I432" i="12"/>
  <c r="G432" i="12" s="1"/>
  <c r="H432" i="12"/>
  <c r="A432" i="12"/>
  <c r="E432" i="12" s="1"/>
  <c r="J432" i="12" s="1"/>
  <c r="D331" i="12"/>
  <c r="J331" i="11"/>
  <c r="I331" i="11"/>
  <c r="G331" i="11" s="1"/>
  <c r="D332" i="11" s="1"/>
  <c r="J426" i="11"/>
  <c r="C429" i="11"/>
  <c r="B428" i="11"/>
  <c r="K428" i="11"/>
  <c r="F428" i="11"/>
  <c r="A428" i="11" l="1"/>
  <c r="E428" i="11" s="1"/>
  <c r="J428" i="11" s="1"/>
  <c r="I428" i="11"/>
  <c r="G428" i="11" s="1"/>
  <c r="H428" i="11"/>
  <c r="H331" i="12"/>
  <c r="E331" i="12"/>
  <c r="F429" i="11"/>
  <c r="C430" i="11"/>
  <c r="K429" i="11"/>
  <c r="B429" i="11"/>
  <c r="D333" i="11"/>
  <c r="L332" i="11"/>
  <c r="L331" i="11"/>
  <c r="L330" i="12"/>
  <c r="C435" i="12"/>
  <c r="B434" i="12"/>
  <c r="K434" i="12"/>
  <c r="F434" i="12"/>
  <c r="A433" i="12"/>
  <c r="A434" i="12" l="1"/>
  <c r="E434" i="12" s="1"/>
  <c r="H434" i="12"/>
  <c r="I434" i="12"/>
  <c r="G434" i="12" s="1"/>
  <c r="C436" i="12"/>
  <c r="B435" i="12"/>
  <c r="K435" i="12"/>
  <c r="F435" i="12"/>
  <c r="D334" i="11"/>
  <c r="L333" i="11" s="1"/>
  <c r="A429" i="11"/>
  <c r="E429" i="11" s="1"/>
  <c r="H429" i="11"/>
  <c r="I429" i="11"/>
  <c r="G429" i="11" s="1"/>
  <c r="C431" i="11"/>
  <c r="K430" i="11"/>
  <c r="B430" i="11"/>
  <c r="F430" i="11"/>
  <c r="J331" i="12"/>
  <c r="I331" i="12"/>
  <c r="G331" i="12" s="1"/>
  <c r="D332" i="12" s="1"/>
  <c r="A430" i="11" l="1"/>
  <c r="K431" i="11"/>
  <c r="C432" i="11"/>
  <c r="B431" i="11"/>
  <c r="F431" i="11"/>
  <c r="A435" i="12"/>
  <c r="E435" i="12" s="1"/>
  <c r="H435" i="12"/>
  <c r="I435" i="12"/>
  <c r="G435" i="12" s="1"/>
  <c r="L332" i="12"/>
  <c r="D333" i="12"/>
  <c r="L331" i="12"/>
  <c r="J429" i="11"/>
  <c r="H334" i="11"/>
  <c r="E334" i="11"/>
  <c r="K436" i="12"/>
  <c r="B436" i="12"/>
  <c r="F436" i="12"/>
  <c r="C437" i="12"/>
  <c r="J434" i="12"/>
  <c r="A436" i="12" l="1"/>
  <c r="J334" i="11"/>
  <c r="I334" i="11"/>
  <c r="G334" i="11" s="1"/>
  <c r="D335" i="11" s="1"/>
  <c r="D334" i="12"/>
  <c r="J435" i="12"/>
  <c r="A431" i="11"/>
  <c r="E431" i="11" s="1"/>
  <c r="I431" i="11"/>
  <c r="G431" i="11" s="1"/>
  <c r="H431" i="11"/>
  <c r="K437" i="12"/>
  <c r="F437" i="12"/>
  <c r="B437" i="12"/>
  <c r="C438" i="12"/>
  <c r="C433" i="11"/>
  <c r="F432" i="11"/>
  <c r="B432" i="11"/>
  <c r="K432" i="11"/>
  <c r="A432" i="11" l="1"/>
  <c r="E432" i="11" s="1"/>
  <c r="H432" i="11"/>
  <c r="I432" i="11"/>
  <c r="G432" i="11" s="1"/>
  <c r="K433" i="11"/>
  <c r="B433" i="11"/>
  <c r="C434" i="11"/>
  <c r="F433" i="11"/>
  <c r="A437" i="12"/>
  <c r="E437" i="12" s="1"/>
  <c r="J437" i="12" s="1"/>
  <c r="I437" i="12"/>
  <c r="G437" i="12" s="1"/>
  <c r="H437" i="12"/>
  <c r="H334" i="12"/>
  <c r="E334" i="12"/>
  <c r="K438" i="12"/>
  <c r="F438" i="12"/>
  <c r="C439" i="12"/>
  <c r="B438" i="12"/>
  <c r="J431" i="11"/>
  <c r="L333" i="12"/>
  <c r="D336" i="11"/>
  <c r="L335" i="11"/>
  <c r="L334" i="11"/>
  <c r="I438" i="12" l="1"/>
  <c r="G438" i="12" s="1"/>
  <c r="H438" i="12"/>
  <c r="A438" i="12"/>
  <c r="E438" i="12" s="1"/>
  <c r="J438" i="12" s="1"/>
  <c r="J334" i="12"/>
  <c r="I334" i="12"/>
  <c r="G334" i="12" s="1"/>
  <c r="D335" i="12" s="1"/>
  <c r="K434" i="11"/>
  <c r="F434" i="11"/>
  <c r="C435" i="11"/>
  <c r="B434" i="11"/>
  <c r="L336" i="11"/>
  <c r="D337" i="11"/>
  <c r="C440" i="12"/>
  <c r="F439" i="12"/>
  <c r="K439" i="12"/>
  <c r="B439" i="12"/>
  <c r="A433" i="11"/>
  <c r="J432" i="11"/>
  <c r="K440" i="12" l="1"/>
  <c r="B440" i="12"/>
  <c r="C441" i="12"/>
  <c r="F440" i="12"/>
  <c r="K435" i="11"/>
  <c r="B435" i="11"/>
  <c r="C436" i="11"/>
  <c r="F435" i="11"/>
  <c r="A439" i="12"/>
  <c r="H337" i="11"/>
  <c r="E337" i="11"/>
  <c r="A434" i="11"/>
  <c r="E434" i="11" s="1"/>
  <c r="I434" i="11"/>
  <c r="G434" i="11" s="1"/>
  <c r="H434" i="11"/>
  <c r="L335" i="12"/>
  <c r="D336" i="12"/>
  <c r="L334" i="12"/>
  <c r="I337" i="11" l="1"/>
  <c r="G337" i="11" s="1"/>
  <c r="D338" i="11" s="1"/>
  <c r="K436" i="11"/>
  <c r="B436" i="11"/>
  <c r="F436" i="11"/>
  <c r="C437" i="11"/>
  <c r="K441" i="12"/>
  <c r="F441" i="12"/>
  <c r="C442" i="12"/>
  <c r="B441" i="12"/>
  <c r="D337" i="12"/>
  <c r="J434" i="11"/>
  <c r="A435" i="11"/>
  <c r="E435" i="11" s="1"/>
  <c r="I435" i="11"/>
  <c r="G435" i="11" s="1"/>
  <c r="H435" i="11"/>
  <c r="A440" i="12"/>
  <c r="E440" i="12" s="1"/>
  <c r="H440" i="12"/>
  <c r="I440" i="12"/>
  <c r="G440" i="12" s="1"/>
  <c r="J440" i="12" l="1"/>
  <c r="H337" i="12"/>
  <c r="E337" i="12"/>
  <c r="K442" i="12"/>
  <c r="C443" i="12"/>
  <c r="F442" i="12"/>
  <c r="B442" i="12"/>
  <c r="D339" i="11"/>
  <c r="L337" i="11"/>
  <c r="J435" i="11"/>
  <c r="L336" i="12"/>
  <c r="H441" i="12"/>
  <c r="A441" i="12"/>
  <c r="E441" i="12" s="1"/>
  <c r="J441" i="12" s="1"/>
  <c r="I441" i="12"/>
  <c r="G441" i="12" s="1"/>
  <c r="K437" i="11"/>
  <c r="B437" i="11"/>
  <c r="C438" i="11"/>
  <c r="F437" i="11"/>
  <c r="A436" i="11"/>
  <c r="J337" i="11"/>
  <c r="K438" i="11" l="1"/>
  <c r="F438" i="11"/>
  <c r="C439" i="11"/>
  <c r="B438" i="11"/>
  <c r="L339" i="11"/>
  <c r="D340" i="11"/>
  <c r="A437" i="11"/>
  <c r="E437" i="11" s="1"/>
  <c r="H437" i="11"/>
  <c r="I437" i="11"/>
  <c r="G437" i="11" s="1"/>
  <c r="L338" i="11"/>
  <c r="A442" i="12"/>
  <c r="C444" i="12"/>
  <c r="B443" i="12"/>
  <c r="K443" i="12"/>
  <c r="F443" i="12"/>
  <c r="I337" i="12"/>
  <c r="G337" i="12" s="1"/>
  <c r="D338" i="12" s="1"/>
  <c r="D339" i="12" l="1"/>
  <c r="L338" i="12"/>
  <c r="L337" i="12"/>
  <c r="H443" i="12"/>
  <c r="A443" i="12"/>
  <c r="E443" i="12" s="1"/>
  <c r="I443" i="12"/>
  <c r="G443" i="12" s="1"/>
  <c r="J437" i="11"/>
  <c r="F439" i="11"/>
  <c r="K439" i="11"/>
  <c r="C440" i="11"/>
  <c r="B439" i="11"/>
  <c r="J337" i="12"/>
  <c r="K444" i="12"/>
  <c r="B444" i="12"/>
  <c r="C445" i="12"/>
  <c r="F444" i="12"/>
  <c r="H340" i="11"/>
  <c r="E340" i="11"/>
  <c r="H438" i="11"/>
  <c r="I438" i="11"/>
  <c r="G438" i="11" s="1"/>
  <c r="A438" i="11"/>
  <c r="E438" i="11" s="1"/>
  <c r="J438" i="11" s="1"/>
  <c r="C446" i="12" l="1"/>
  <c r="F445" i="12"/>
  <c r="K445" i="12"/>
  <c r="B445" i="12"/>
  <c r="A439" i="11"/>
  <c r="J340" i="11"/>
  <c r="I340" i="11"/>
  <c r="G340" i="11" s="1"/>
  <c r="D341" i="11" s="1"/>
  <c r="I444" i="12"/>
  <c r="G444" i="12" s="1"/>
  <c r="A444" i="12"/>
  <c r="E444" i="12" s="1"/>
  <c r="H444" i="12"/>
  <c r="K440" i="11"/>
  <c r="F440" i="11"/>
  <c r="C441" i="11"/>
  <c r="B440" i="11"/>
  <c r="J443" i="12"/>
  <c r="L339" i="12"/>
  <c r="D340" i="12"/>
  <c r="A440" i="11" l="1"/>
  <c r="E440" i="11" s="1"/>
  <c r="H440" i="11"/>
  <c r="I440" i="11"/>
  <c r="G440" i="11" s="1"/>
  <c r="A445" i="12"/>
  <c r="H340" i="12"/>
  <c r="E340" i="12"/>
  <c r="K441" i="11"/>
  <c r="F441" i="11"/>
  <c r="C442" i="11"/>
  <c r="B441" i="11"/>
  <c r="J444" i="12"/>
  <c r="D342" i="11"/>
  <c r="L340" i="11"/>
  <c r="C447" i="12"/>
  <c r="B446" i="12"/>
  <c r="F446" i="12"/>
  <c r="K446" i="12"/>
  <c r="C448" i="12" l="1"/>
  <c r="B447" i="12"/>
  <c r="K447" i="12"/>
  <c r="F447" i="12"/>
  <c r="D343" i="11"/>
  <c r="L342" i="11"/>
  <c r="A441" i="11"/>
  <c r="E441" i="11" s="1"/>
  <c r="I441" i="11"/>
  <c r="G441" i="11" s="1"/>
  <c r="H441" i="11"/>
  <c r="J340" i="12"/>
  <c r="I340" i="12"/>
  <c r="G340" i="12" s="1"/>
  <c r="D341" i="12" s="1"/>
  <c r="H446" i="12"/>
  <c r="A446" i="12"/>
  <c r="E446" i="12" s="1"/>
  <c r="J446" i="12" s="1"/>
  <c r="I446" i="12"/>
  <c r="G446" i="12" s="1"/>
  <c r="L341" i="11"/>
  <c r="C443" i="11"/>
  <c r="F442" i="11"/>
  <c r="K442" i="11"/>
  <c r="B442" i="11"/>
  <c r="J440" i="11"/>
  <c r="A442" i="11" l="1"/>
  <c r="I447" i="12"/>
  <c r="G447" i="12" s="1"/>
  <c r="A447" i="12"/>
  <c r="E447" i="12" s="1"/>
  <c r="H447" i="12"/>
  <c r="C444" i="11"/>
  <c r="F443" i="11"/>
  <c r="K443" i="11"/>
  <c r="B443" i="11"/>
  <c r="D342" i="12"/>
  <c r="L341" i="12"/>
  <c r="L340" i="12"/>
  <c r="J441" i="11"/>
  <c r="H343" i="11"/>
  <c r="E343" i="11"/>
  <c r="C449" i="12"/>
  <c r="F448" i="12"/>
  <c r="K448" i="12"/>
  <c r="B448" i="12"/>
  <c r="A448" i="12" l="1"/>
  <c r="J343" i="11"/>
  <c r="I343" i="11"/>
  <c r="G343" i="11" s="1"/>
  <c r="D344" i="11" s="1"/>
  <c r="A443" i="11"/>
  <c r="E443" i="11" s="1"/>
  <c r="H443" i="11"/>
  <c r="I443" i="11"/>
  <c r="G443" i="11" s="1"/>
  <c r="C450" i="12"/>
  <c r="B449" i="12"/>
  <c r="K449" i="12"/>
  <c r="F449" i="12"/>
  <c r="D343" i="12"/>
  <c r="L342" i="12"/>
  <c r="K444" i="11"/>
  <c r="B444" i="11"/>
  <c r="C445" i="11"/>
  <c r="F444" i="11"/>
  <c r="J447" i="12"/>
  <c r="I444" i="11" l="1"/>
  <c r="G444" i="11" s="1"/>
  <c r="H444" i="11"/>
  <c r="A444" i="11"/>
  <c r="E444" i="11" s="1"/>
  <c r="J444" i="11" s="1"/>
  <c r="A449" i="12"/>
  <c r="E449" i="12" s="1"/>
  <c r="J449" i="12" s="1"/>
  <c r="I449" i="12"/>
  <c r="G449" i="12" s="1"/>
  <c r="H449" i="12"/>
  <c r="J443" i="11"/>
  <c r="F445" i="11"/>
  <c r="B445" i="11"/>
  <c r="K445" i="11"/>
  <c r="C446" i="11"/>
  <c r="H343" i="12"/>
  <c r="E343" i="12"/>
  <c r="K450" i="12"/>
  <c r="F450" i="12"/>
  <c r="C451" i="12"/>
  <c r="B450" i="12"/>
  <c r="D345" i="11"/>
  <c r="L343" i="11"/>
  <c r="D346" i="11" l="1"/>
  <c r="L345" i="11"/>
  <c r="K451" i="12"/>
  <c r="F451" i="12"/>
  <c r="C452" i="12"/>
  <c r="B451" i="12"/>
  <c r="L344" i="11"/>
  <c r="A450" i="12"/>
  <c r="E450" i="12" s="1"/>
  <c r="J450" i="12" s="1"/>
  <c r="I450" i="12"/>
  <c r="G450" i="12" s="1"/>
  <c r="H450" i="12"/>
  <c r="I343" i="12"/>
  <c r="G343" i="12" s="1"/>
  <c r="D344" i="12" s="1"/>
  <c r="C447" i="11"/>
  <c r="F446" i="11"/>
  <c r="K446" i="11"/>
  <c r="B446" i="11"/>
  <c r="A445" i="11"/>
  <c r="A446" i="11" l="1"/>
  <c r="E446" i="11" s="1"/>
  <c r="H446" i="11"/>
  <c r="I446" i="11"/>
  <c r="G446" i="11" s="1"/>
  <c r="D345" i="12"/>
  <c r="L343" i="12"/>
  <c r="A451" i="12"/>
  <c r="C448" i="11"/>
  <c r="B447" i="11"/>
  <c r="K447" i="11"/>
  <c r="F447" i="11"/>
  <c r="J343" i="12"/>
  <c r="C453" i="12"/>
  <c r="B452" i="12"/>
  <c r="K452" i="12"/>
  <c r="F452" i="12"/>
  <c r="H346" i="11"/>
  <c r="E346" i="11"/>
  <c r="K453" i="12" l="1"/>
  <c r="C454" i="12"/>
  <c r="F453" i="12"/>
  <c r="B453" i="12"/>
  <c r="A447" i="11"/>
  <c r="E447" i="11" s="1"/>
  <c r="I447" i="11"/>
  <c r="G447" i="11" s="1"/>
  <c r="H447" i="11"/>
  <c r="D346" i="12"/>
  <c r="J346" i="11"/>
  <c r="I346" i="11"/>
  <c r="G346" i="11" s="1"/>
  <c r="D347" i="11" s="1"/>
  <c r="A452" i="12"/>
  <c r="E452" i="12" s="1"/>
  <c r="H452" i="12"/>
  <c r="I452" i="12"/>
  <c r="G452" i="12" s="1"/>
  <c r="C449" i="11"/>
  <c r="F448" i="11"/>
  <c r="K448" i="11"/>
  <c r="B448" i="11"/>
  <c r="L344" i="12"/>
  <c r="J446" i="11"/>
  <c r="A448" i="11" l="1"/>
  <c r="J452" i="12"/>
  <c r="H346" i="12"/>
  <c r="E346" i="12"/>
  <c r="I453" i="12"/>
  <c r="G453" i="12" s="1"/>
  <c r="A453" i="12"/>
  <c r="E453" i="12" s="1"/>
  <c r="J453" i="12" s="1"/>
  <c r="H453" i="12"/>
  <c r="C455" i="12"/>
  <c r="B454" i="12"/>
  <c r="K454" i="12"/>
  <c r="F454" i="12"/>
  <c r="C450" i="11"/>
  <c r="F449" i="11"/>
  <c r="K449" i="11"/>
  <c r="B449" i="11"/>
  <c r="D348" i="11"/>
  <c r="L346" i="11"/>
  <c r="L345" i="12"/>
  <c r="J447" i="11"/>
  <c r="K450" i="11" l="1"/>
  <c r="F450" i="11"/>
  <c r="C451" i="11"/>
  <c r="B450" i="11"/>
  <c r="K455" i="12"/>
  <c r="B455" i="12"/>
  <c r="C456" i="12"/>
  <c r="F455" i="12"/>
  <c r="D349" i="11"/>
  <c r="L348" i="11"/>
  <c r="I346" i="12"/>
  <c r="G346" i="12" s="1"/>
  <c r="D347" i="12" s="1"/>
  <c r="L347" i="11"/>
  <c r="A449" i="11"/>
  <c r="E449" i="11" s="1"/>
  <c r="H449" i="11"/>
  <c r="I449" i="11"/>
  <c r="G449" i="11" s="1"/>
  <c r="A454" i="12"/>
  <c r="J449" i="11" l="1"/>
  <c r="D348" i="12"/>
  <c r="L347" i="12"/>
  <c r="L346" i="12"/>
  <c r="H455" i="12"/>
  <c r="A455" i="12"/>
  <c r="E455" i="12" s="1"/>
  <c r="J455" i="12" s="1"/>
  <c r="I455" i="12"/>
  <c r="G455" i="12" s="1"/>
  <c r="I450" i="11"/>
  <c r="G450" i="11" s="1"/>
  <c r="H450" i="11"/>
  <c r="A450" i="11"/>
  <c r="E450" i="11" s="1"/>
  <c r="J450" i="11" s="1"/>
  <c r="J346" i="12"/>
  <c r="H349" i="11"/>
  <c r="E349" i="11"/>
  <c r="C457" i="12"/>
  <c r="B456" i="12"/>
  <c r="K456" i="12"/>
  <c r="F456" i="12"/>
  <c r="K451" i="11"/>
  <c r="F451" i="11"/>
  <c r="C452" i="11"/>
  <c r="B451" i="11"/>
  <c r="I349" i="11" l="1"/>
  <c r="G349" i="11" s="1"/>
  <c r="D350" i="11" s="1"/>
  <c r="D349" i="12"/>
  <c r="L348" i="12"/>
  <c r="A451" i="11"/>
  <c r="H456" i="12"/>
  <c r="A456" i="12"/>
  <c r="E456" i="12" s="1"/>
  <c r="J456" i="12" s="1"/>
  <c r="I456" i="12"/>
  <c r="G456" i="12" s="1"/>
  <c r="C453" i="11"/>
  <c r="F452" i="11"/>
  <c r="K452" i="11"/>
  <c r="B452" i="11"/>
  <c r="C458" i="12"/>
  <c r="F457" i="12"/>
  <c r="K457" i="12"/>
  <c r="B457" i="12"/>
  <c r="A457" i="12" l="1"/>
  <c r="A452" i="11"/>
  <c r="E452" i="11" s="1"/>
  <c r="H452" i="11"/>
  <c r="I452" i="11"/>
  <c r="G452" i="11" s="1"/>
  <c r="D351" i="11"/>
  <c r="L350" i="11" s="1"/>
  <c r="L349" i="11"/>
  <c r="K458" i="12"/>
  <c r="F458" i="12"/>
  <c r="C459" i="12"/>
  <c r="B458" i="12"/>
  <c r="C454" i="11"/>
  <c r="K453" i="11"/>
  <c r="F453" i="11"/>
  <c r="B453" i="11"/>
  <c r="H349" i="12"/>
  <c r="E349" i="12"/>
  <c r="J349" i="11"/>
  <c r="I349" i="12" l="1"/>
  <c r="G349" i="12" s="1"/>
  <c r="D350" i="12" s="1"/>
  <c r="K454" i="11"/>
  <c r="B454" i="11"/>
  <c r="C455" i="11"/>
  <c r="F454" i="11"/>
  <c r="K459" i="12"/>
  <c r="B459" i="12"/>
  <c r="C460" i="12"/>
  <c r="F459" i="12"/>
  <c r="J452" i="11"/>
  <c r="I453" i="11"/>
  <c r="G453" i="11" s="1"/>
  <c r="A453" i="11"/>
  <c r="E453" i="11" s="1"/>
  <c r="H453" i="11"/>
  <c r="A458" i="12"/>
  <c r="E458" i="12" s="1"/>
  <c r="H458" i="12"/>
  <c r="I458" i="12"/>
  <c r="G458" i="12" s="1"/>
  <c r="D352" i="11"/>
  <c r="A454" i="11" l="1"/>
  <c r="D351" i="12"/>
  <c r="L350" i="12"/>
  <c r="L349" i="12"/>
  <c r="H352" i="11"/>
  <c r="E352" i="11"/>
  <c r="A459" i="12"/>
  <c r="E459" i="12" s="1"/>
  <c r="J459" i="12" s="1"/>
  <c r="I459" i="12"/>
  <c r="G459" i="12" s="1"/>
  <c r="H459" i="12"/>
  <c r="L351" i="11"/>
  <c r="J458" i="12"/>
  <c r="J453" i="11"/>
  <c r="C461" i="12"/>
  <c r="B460" i="12"/>
  <c r="K460" i="12"/>
  <c r="F460" i="12"/>
  <c r="K455" i="11"/>
  <c r="F455" i="11"/>
  <c r="C456" i="11"/>
  <c r="B455" i="11"/>
  <c r="J349" i="12"/>
  <c r="A460" i="12" l="1"/>
  <c r="I352" i="11"/>
  <c r="G352" i="11" s="1"/>
  <c r="D353" i="11" s="1"/>
  <c r="D352" i="12"/>
  <c r="A455" i="11"/>
  <c r="E455" i="11" s="1"/>
  <c r="H455" i="11"/>
  <c r="I455" i="11"/>
  <c r="G455" i="11" s="1"/>
  <c r="C457" i="11"/>
  <c r="B456" i="11"/>
  <c r="K456" i="11"/>
  <c r="F456" i="11"/>
  <c r="C462" i="12"/>
  <c r="B461" i="12"/>
  <c r="K461" i="12"/>
  <c r="F461" i="12"/>
  <c r="C463" i="12" l="1"/>
  <c r="F462" i="12"/>
  <c r="K462" i="12"/>
  <c r="B462" i="12"/>
  <c r="K457" i="11"/>
  <c r="B457" i="11"/>
  <c r="C458" i="11"/>
  <c r="F457" i="11"/>
  <c r="H352" i="12"/>
  <c r="E352" i="12"/>
  <c r="A461" i="12"/>
  <c r="E461" i="12" s="1"/>
  <c r="I461" i="12"/>
  <c r="G461" i="12" s="1"/>
  <c r="H461" i="12"/>
  <c r="A456" i="11"/>
  <c r="E456" i="11" s="1"/>
  <c r="J456" i="11" s="1"/>
  <c r="I456" i="11"/>
  <c r="G456" i="11" s="1"/>
  <c r="H456" i="11"/>
  <c r="J455" i="11"/>
  <c r="L351" i="12"/>
  <c r="J352" i="11"/>
  <c r="D354" i="11"/>
  <c r="L352" i="11"/>
  <c r="A457" i="11" l="1"/>
  <c r="A462" i="12"/>
  <c r="E462" i="12" s="1"/>
  <c r="I462" i="12"/>
  <c r="G462" i="12" s="1"/>
  <c r="H462" i="12"/>
  <c r="D355" i="11"/>
  <c r="L354" i="11" s="1"/>
  <c r="J352" i="12"/>
  <c r="I352" i="12"/>
  <c r="G352" i="12" s="1"/>
  <c r="D353" i="12" s="1"/>
  <c r="L353" i="11"/>
  <c r="J461" i="12"/>
  <c r="K458" i="11"/>
  <c r="F458" i="11"/>
  <c r="C459" i="11"/>
  <c r="B458" i="11"/>
  <c r="K463" i="12"/>
  <c r="B463" i="12"/>
  <c r="C464" i="12"/>
  <c r="F463" i="12"/>
  <c r="A463" i="12" l="1"/>
  <c r="A458" i="11"/>
  <c r="E458" i="11" s="1"/>
  <c r="I458" i="11"/>
  <c r="G458" i="11" s="1"/>
  <c r="H458" i="11"/>
  <c r="L353" i="12"/>
  <c r="D354" i="12"/>
  <c r="L352" i="12"/>
  <c r="J462" i="12"/>
  <c r="K464" i="12"/>
  <c r="F464" i="12"/>
  <c r="C465" i="12"/>
  <c r="B464" i="12"/>
  <c r="K459" i="11"/>
  <c r="B459" i="11"/>
  <c r="F459" i="11"/>
  <c r="C460" i="11"/>
  <c r="H355" i="11"/>
  <c r="E355" i="11"/>
  <c r="I355" i="11" l="1"/>
  <c r="G355" i="11" s="1"/>
  <c r="D356" i="11" s="1"/>
  <c r="K460" i="11"/>
  <c r="B460" i="11"/>
  <c r="C461" i="11"/>
  <c r="F460" i="11"/>
  <c r="H459" i="11"/>
  <c r="A459" i="11"/>
  <c r="E459" i="11" s="1"/>
  <c r="J459" i="11" s="1"/>
  <c r="I459" i="11"/>
  <c r="G459" i="11" s="1"/>
  <c r="A464" i="12"/>
  <c r="E464" i="12" s="1"/>
  <c r="H464" i="12"/>
  <c r="I464" i="12"/>
  <c r="G464" i="12" s="1"/>
  <c r="D355" i="12"/>
  <c r="L354" i="12"/>
  <c r="J458" i="11"/>
  <c r="C466" i="12"/>
  <c r="F465" i="12"/>
  <c r="K465" i="12"/>
  <c r="B465" i="12"/>
  <c r="F466" i="12" l="1"/>
  <c r="B466" i="12"/>
  <c r="C467" i="12"/>
  <c r="K466" i="12"/>
  <c r="A460" i="11"/>
  <c r="D357" i="11"/>
  <c r="L355" i="11"/>
  <c r="J464" i="12"/>
  <c r="A465" i="12"/>
  <c r="E465" i="12" s="1"/>
  <c r="J465" i="12" s="1"/>
  <c r="I465" i="12"/>
  <c r="G465" i="12" s="1"/>
  <c r="H465" i="12"/>
  <c r="H355" i="12"/>
  <c r="E355" i="12"/>
  <c r="K461" i="11"/>
  <c r="F461" i="11"/>
  <c r="C462" i="11"/>
  <c r="B461" i="11"/>
  <c r="J355" i="11"/>
  <c r="A461" i="11" l="1"/>
  <c r="E461" i="11" s="1"/>
  <c r="J461" i="11" s="1"/>
  <c r="I461" i="11"/>
  <c r="G461" i="11" s="1"/>
  <c r="H461" i="11"/>
  <c r="D358" i="11"/>
  <c r="L357" i="11"/>
  <c r="A466" i="12"/>
  <c r="I355" i="12"/>
  <c r="G355" i="12" s="1"/>
  <c r="D356" i="12" s="1"/>
  <c r="K462" i="11"/>
  <c r="F462" i="11"/>
  <c r="C463" i="11"/>
  <c r="B462" i="11"/>
  <c r="L356" i="11"/>
  <c r="K467" i="12"/>
  <c r="B467" i="12"/>
  <c r="C468" i="12"/>
  <c r="F467" i="12"/>
  <c r="A467" i="12" l="1"/>
  <c r="E467" i="12" s="1"/>
  <c r="J467" i="12" s="1"/>
  <c r="I467" i="12"/>
  <c r="G467" i="12" s="1"/>
  <c r="H467" i="12"/>
  <c r="D357" i="12"/>
  <c r="L356" i="12"/>
  <c r="L355" i="12"/>
  <c r="H358" i="11"/>
  <c r="E358" i="11"/>
  <c r="I462" i="11"/>
  <c r="G462" i="11" s="1"/>
  <c r="H462" i="11"/>
  <c r="A462" i="11"/>
  <c r="E462" i="11" s="1"/>
  <c r="J462" i="11" s="1"/>
  <c r="K468" i="12"/>
  <c r="B468" i="12"/>
  <c r="C469" i="12"/>
  <c r="F468" i="12"/>
  <c r="K463" i="11"/>
  <c r="F463" i="11"/>
  <c r="C464" i="11"/>
  <c r="B463" i="11"/>
  <c r="J355" i="12"/>
  <c r="A463" i="11" l="1"/>
  <c r="I468" i="12"/>
  <c r="G468" i="12" s="1"/>
  <c r="A468" i="12"/>
  <c r="E468" i="12" s="1"/>
  <c r="J468" i="12" s="1"/>
  <c r="H468" i="12"/>
  <c r="D358" i="12"/>
  <c r="L357" i="12" s="1"/>
  <c r="C465" i="11"/>
  <c r="F464" i="11"/>
  <c r="K464" i="11"/>
  <c r="B464" i="11"/>
  <c r="K469" i="12"/>
  <c r="F469" i="12"/>
  <c r="C470" i="12"/>
  <c r="B469" i="12"/>
  <c r="J358" i="11"/>
  <c r="I358" i="11"/>
  <c r="G358" i="11" s="1"/>
  <c r="D359" i="11" s="1"/>
  <c r="D360" i="11" l="1"/>
  <c r="L359" i="11"/>
  <c r="L358" i="11"/>
  <c r="A469" i="12"/>
  <c r="A464" i="11"/>
  <c r="E464" i="11" s="1"/>
  <c r="H464" i="11"/>
  <c r="I464" i="11"/>
  <c r="G464" i="11" s="1"/>
  <c r="K470" i="12"/>
  <c r="F470" i="12"/>
  <c r="C471" i="12"/>
  <c r="B470" i="12"/>
  <c r="K465" i="11"/>
  <c r="F465" i="11"/>
  <c r="C466" i="11"/>
  <c r="B465" i="11"/>
  <c r="H358" i="12"/>
  <c r="E358" i="12"/>
  <c r="C467" i="11" l="1"/>
  <c r="F466" i="11"/>
  <c r="K466" i="11"/>
  <c r="B466" i="11"/>
  <c r="C472" i="12"/>
  <c r="B471" i="12"/>
  <c r="K471" i="12"/>
  <c r="F471" i="12"/>
  <c r="J358" i="12"/>
  <c r="I358" i="12"/>
  <c r="G358" i="12" s="1"/>
  <c r="D359" i="12" s="1"/>
  <c r="I465" i="11"/>
  <c r="G465" i="11" s="1"/>
  <c r="H465" i="11"/>
  <c r="A465" i="11"/>
  <c r="E465" i="11" s="1"/>
  <c r="J465" i="11" s="1"/>
  <c r="A470" i="12"/>
  <c r="E470" i="12" s="1"/>
  <c r="H470" i="12"/>
  <c r="I470" i="12"/>
  <c r="G470" i="12" s="1"/>
  <c r="J464" i="11"/>
  <c r="D361" i="11"/>
  <c r="L360" i="11"/>
  <c r="A466" i="11" l="1"/>
  <c r="I471" i="12"/>
  <c r="G471" i="12" s="1"/>
  <c r="A471" i="12"/>
  <c r="E471" i="12" s="1"/>
  <c r="J471" i="12" s="1"/>
  <c r="H471" i="12"/>
  <c r="H361" i="11"/>
  <c r="E361" i="11"/>
  <c r="J470" i="12"/>
  <c r="D360" i="12"/>
  <c r="L359" i="12" s="1"/>
  <c r="L358" i="12"/>
  <c r="C473" i="12"/>
  <c r="F472" i="12"/>
  <c r="K472" i="12"/>
  <c r="B472" i="12"/>
  <c r="C468" i="11"/>
  <c r="F467" i="11"/>
  <c r="K467" i="11"/>
  <c r="B467" i="11"/>
  <c r="A472" i="12" l="1"/>
  <c r="I361" i="11"/>
  <c r="G361" i="11" s="1"/>
  <c r="D362" i="11" s="1"/>
  <c r="A467" i="11"/>
  <c r="E467" i="11" s="1"/>
  <c r="I467" i="11"/>
  <c r="G467" i="11" s="1"/>
  <c r="H467" i="11"/>
  <c r="F468" i="11"/>
  <c r="B468" i="11"/>
  <c r="C469" i="11"/>
  <c r="K468" i="11"/>
  <c r="K473" i="12"/>
  <c r="F473" i="12"/>
  <c r="C474" i="12"/>
  <c r="B473" i="12"/>
  <c r="D361" i="12"/>
  <c r="L360" i="12"/>
  <c r="A473" i="12" l="1"/>
  <c r="E473" i="12" s="1"/>
  <c r="J473" i="12" s="1"/>
  <c r="I473" i="12"/>
  <c r="G473" i="12" s="1"/>
  <c r="H473" i="12"/>
  <c r="I468" i="11"/>
  <c r="G468" i="11" s="1"/>
  <c r="H468" i="11"/>
  <c r="A468" i="11"/>
  <c r="E468" i="11" s="1"/>
  <c r="J468" i="11" s="1"/>
  <c r="J467" i="11"/>
  <c r="J361" i="11"/>
  <c r="H361" i="12"/>
  <c r="E361" i="12"/>
  <c r="K474" i="12"/>
  <c r="F474" i="12"/>
  <c r="C475" i="12"/>
  <c r="B474" i="12"/>
  <c r="K469" i="11"/>
  <c r="C470" i="11"/>
  <c r="F469" i="11"/>
  <c r="B469" i="11"/>
  <c r="D363" i="11"/>
  <c r="L362" i="11"/>
  <c r="L361" i="11"/>
  <c r="A469" i="11" l="1"/>
  <c r="I361" i="12"/>
  <c r="G361" i="12" s="1"/>
  <c r="D362" i="12" s="1"/>
  <c r="C471" i="11"/>
  <c r="F470" i="11"/>
  <c r="K470" i="11"/>
  <c r="B470" i="11"/>
  <c r="I474" i="12"/>
  <c r="G474" i="12" s="1"/>
  <c r="H474" i="12"/>
  <c r="A474" i="12"/>
  <c r="E474" i="12" s="1"/>
  <c r="J474" i="12" s="1"/>
  <c r="D364" i="11"/>
  <c r="L363" i="11" s="1"/>
  <c r="K475" i="12"/>
  <c r="C476" i="12"/>
  <c r="B475" i="12"/>
  <c r="F475" i="12"/>
  <c r="A475" i="12" l="1"/>
  <c r="A470" i="11"/>
  <c r="E470" i="11" s="1"/>
  <c r="H470" i="11"/>
  <c r="I470" i="11"/>
  <c r="G470" i="11" s="1"/>
  <c r="K476" i="12"/>
  <c r="F476" i="12"/>
  <c r="C477" i="12"/>
  <c r="B476" i="12"/>
  <c r="C472" i="11"/>
  <c r="B471" i="11"/>
  <c r="K471" i="11"/>
  <c r="F471" i="11"/>
  <c r="J361" i="12"/>
  <c r="H364" i="11"/>
  <c r="E364" i="11"/>
  <c r="D363" i="12"/>
  <c r="L362" i="12" s="1"/>
  <c r="L361" i="12"/>
  <c r="I364" i="11" l="1"/>
  <c r="G364" i="11" s="1"/>
  <c r="D365" i="11" s="1"/>
  <c r="C473" i="11"/>
  <c r="F472" i="11"/>
  <c r="K472" i="11"/>
  <c r="B472" i="11"/>
  <c r="A471" i="11"/>
  <c r="E471" i="11" s="1"/>
  <c r="I471" i="11"/>
  <c r="G471" i="11" s="1"/>
  <c r="H471" i="11"/>
  <c r="A476" i="12"/>
  <c r="E476" i="12" s="1"/>
  <c r="H476" i="12"/>
  <c r="I476" i="12"/>
  <c r="G476" i="12" s="1"/>
  <c r="J470" i="11"/>
  <c r="D364" i="12"/>
  <c r="K477" i="12"/>
  <c r="F477" i="12"/>
  <c r="B477" i="12"/>
  <c r="C478" i="12"/>
  <c r="A472" i="11" l="1"/>
  <c r="D366" i="11"/>
  <c r="L365" i="11"/>
  <c r="L364" i="11"/>
  <c r="I477" i="12"/>
  <c r="G477" i="12" s="1"/>
  <c r="A477" i="12"/>
  <c r="E477" i="12" s="1"/>
  <c r="H477" i="12"/>
  <c r="H364" i="12"/>
  <c r="E364" i="12"/>
  <c r="J476" i="12"/>
  <c r="K478" i="12"/>
  <c r="F478" i="12"/>
  <c r="C479" i="12"/>
  <c r="B478" i="12"/>
  <c r="L363" i="12"/>
  <c r="J471" i="11"/>
  <c r="C474" i="11"/>
  <c r="B473" i="11"/>
  <c r="K473" i="11"/>
  <c r="F473" i="11"/>
  <c r="J364" i="11"/>
  <c r="H473" i="11" l="1"/>
  <c r="I473" i="11"/>
  <c r="G473" i="11" s="1"/>
  <c r="A473" i="11"/>
  <c r="E473" i="11" s="1"/>
  <c r="J473" i="11" s="1"/>
  <c r="A478" i="12"/>
  <c r="J477" i="12"/>
  <c r="D367" i="11"/>
  <c r="L366" i="11"/>
  <c r="K474" i="11"/>
  <c r="C475" i="11"/>
  <c r="F474" i="11"/>
  <c r="B474" i="11"/>
  <c r="K479" i="12"/>
  <c r="B479" i="12"/>
  <c r="C480" i="12"/>
  <c r="F479" i="12"/>
  <c r="I364" i="12"/>
  <c r="G364" i="12" s="1"/>
  <c r="D365" i="12" s="1"/>
  <c r="J364" i="12" l="1"/>
  <c r="C481" i="12"/>
  <c r="B480" i="12"/>
  <c r="K480" i="12"/>
  <c r="F480" i="12"/>
  <c r="H367" i="11"/>
  <c r="E367" i="11"/>
  <c r="D366" i="12"/>
  <c r="L364" i="12"/>
  <c r="H479" i="12"/>
  <c r="A479" i="12"/>
  <c r="E479" i="12" s="1"/>
  <c r="I479" i="12"/>
  <c r="G479" i="12" s="1"/>
  <c r="A474" i="11"/>
  <c r="E474" i="11" s="1"/>
  <c r="I474" i="11"/>
  <c r="G474" i="11" s="1"/>
  <c r="H474" i="11"/>
  <c r="F475" i="11"/>
  <c r="K475" i="11"/>
  <c r="B475" i="11"/>
  <c r="C476" i="11"/>
  <c r="A475" i="11" l="1"/>
  <c r="D367" i="12"/>
  <c r="L366" i="12"/>
  <c r="I367" i="11"/>
  <c r="G367" i="11" s="1"/>
  <c r="D368" i="11" s="1"/>
  <c r="H480" i="12"/>
  <c r="I480" i="12"/>
  <c r="G480" i="12" s="1"/>
  <c r="A480" i="12"/>
  <c r="E480" i="12" s="1"/>
  <c r="K476" i="11"/>
  <c r="B476" i="11"/>
  <c r="C477" i="11"/>
  <c r="F476" i="11"/>
  <c r="J474" i="11"/>
  <c r="J479" i="12"/>
  <c r="L365" i="12"/>
  <c r="K481" i="12"/>
  <c r="B481" i="12"/>
  <c r="C482" i="12"/>
  <c r="F481" i="12"/>
  <c r="A481" i="12" l="1"/>
  <c r="K482" i="12"/>
  <c r="F482" i="12"/>
  <c r="B482" i="12"/>
  <c r="C483" i="12"/>
  <c r="I476" i="11"/>
  <c r="G476" i="11" s="1"/>
  <c r="A476" i="11"/>
  <c r="E476" i="11" s="1"/>
  <c r="H476" i="11"/>
  <c r="J480" i="12"/>
  <c r="J367" i="11"/>
  <c r="H367" i="12"/>
  <c r="E367" i="12"/>
  <c r="C478" i="11"/>
  <c r="F477" i="11"/>
  <c r="B477" i="11"/>
  <c r="K477" i="11"/>
  <c r="D369" i="11"/>
  <c r="L368" i="11"/>
  <c r="L367" i="11"/>
  <c r="A482" i="12" l="1"/>
  <c r="E482" i="12" s="1"/>
  <c r="H482" i="12"/>
  <c r="I482" i="12"/>
  <c r="G482" i="12" s="1"/>
  <c r="J367" i="12"/>
  <c r="I367" i="12"/>
  <c r="G367" i="12" s="1"/>
  <c r="D368" i="12" s="1"/>
  <c r="D370" i="11"/>
  <c r="L369" i="11" s="1"/>
  <c r="A477" i="11"/>
  <c r="E477" i="11" s="1"/>
  <c r="J477" i="11" s="1"/>
  <c r="I477" i="11"/>
  <c r="G477" i="11" s="1"/>
  <c r="H477" i="11"/>
  <c r="C479" i="11"/>
  <c r="B478" i="11"/>
  <c r="K478" i="11"/>
  <c r="F478" i="11"/>
  <c r="J476" i="11"/>
  <c r="F483" i="12"/>
  <c r="B483" i="12"/>
  <c r="C484" i="12"/>
  <c r="K483" i="12"/>
  <c r="A478" i="11" l="1"/>
  <c r="H483" i="12"/>
  <c r="I483" i="12"/>
  <c r="G483" i="12" s="1"/>
  <c r="A483" i="12"/>
  <c r="E483" i="12" s="1"/>
  <c r="K479" i="11"/>
  <c r="F479" i="11"/>
  <c r="B479" i="11"/>
  <c r="C480" i="11"/>
  <c r="D369" i="12"/>
  <c r="L368" i="12" s="1"/>
  <c r="L367" i="12"/>
  <c r="K484" i="12"/>
  <c r="B484" i="12"/>
  <c r="F484" i="12"/>
  <c r="C485" i="12"/>
  <c r="H370" i="11"/>
  <c r="E370" i="11"/>
  <c r="J482" i="12"/>
  <c r="I370" i="11" l="1"/>
  <c r="G370" i="11" s="1"/>
  <c r="D371" i="11" s="1"/>
  <c r="C486" i="12"/>
  <c r="B485" i="12"/>
  <c r="K485" i="12"/>
  <c r="F485" i="12"/>
  <c r="A479" i="11"/>
  <c r="E479" i="11" s="1"/>
  <c r="I479" i="11"/>
  <c r="G479" i="11" s="1"/>
  <c r="H479" i="11"/>
  <c r="C481" i="11"/>
  <c r="B480" i="11"/>
  <c r="K480" i="11"/>
  <c r="F480" i="11"/>
  <c r="J483" i="12"/>
  <c r="A484" i="12"/>
  <c r="D370" i="12"/>
  <c r="L369" i="12"/>
  <c r="H370" i="12" l="1"/>
  <c r="E370" i="12"/>
  <c r="K481" i="11"/>
  <c r="F481" i="11"/>
  <c r="B481" i="11"/>
  <c r="C482" i="11"/>
  <c r="A485" i="12"/>
  <c r="E485" i="12" s="1"/>
  <c r="J485" i="12" s="1"/>
  <c r="I485" i="12"/>
  <c r="G485" i="12" s="1"/>
  <c r="H485" i="12"/>
  <c r="D372" i="11"/>
  <c r="L371" i="11"/>
  <c r="L370" i="11"/>
  <c r="A480" i="11"/>
  <c r="E480" i="11" s="1"/>
  <c r="I480" i="11"/>
  <c r="G480" i="11" s="1"/>
  <c r="H480" i="11"/>
  <c r="J479" i="11"/>
  <c r="K486" i="12"/>
  <c r="F486" i="12"/>
  <c r="C487" i="12"/>
  <c r="B486" i="12"/>
  <c r="J370" i="11"/>
  <c r="C488" i="12" l="1"/>
  <c r="F487" i="12"/>
  <c r="K487" i="12"/>
  <c r="B487" i="12"/>
  <c r="J480" i="11"/>
  <c r="L372" i="11"/>
  <c r="D373" i="11"/>
  <c r="C483" i="11"/>
  <c r="B482" i="11"/>
  <c r="K482" i="11"/>
  <c r="F482" i="11"/>
  <c r="J370" i="12"/>
  <c r="I370" i="12"/>
  <c r="G370" i="12" s="1"/>
  <c r="D371" i="12" s="1"/>
  <c r="A486" i="12"/>
  <c r="E486" i="12" s="1"/>
  <c r="H486" i="12"/>
  <c r="I486" i="12"/>
  <c r="G486" i="12" s="1"/>
  <c r="A481" i="11"/>
  <c r="J486" i="12" l="1"/>
  <c r="C484" i="11"/>
  <c r="B483" i="11"/>
  <c r="K483" i="11"/>
  <c r="F483" i="11"/>
  <c r="A487" i="12"/>
  <c r="L371" i="12"/>
  <c r="D372" i="12"/>
  <c r="L370" i="12"/>
  <c r="I482" i="11"/>
  <c r="G482" i="11" s="1"/>
  <c r="A482" i="11"/>
  <c r="E482" i="11" s="1"/>
  <c r="J482" i="11" s="1"/>
  <c r="H482" i="11"/>
  <c r="H373" i="11"/>
  <c r="E373" i="11"/>
  <c r="C489" i="12"/>
  <c r="B488" i="12"/>
  <c r="K488" i="12"/>
  <c r="F488" i="12"/>
  <c r="K484" i="11" l="1"/>
  <c r="B484" i="11"/>
  <c r="F484" i="11"/>
  <c r="C485" i="11"/>
  <c r="C490" i="12"/>
  <c r="F489" i="12"/>
  <c r="K489" i="12"/>
  <c r="B489" i="12"/>
  <c r="H488" i="12"/>
  <c r="A488" i="12"/>
  <c r="E488" i="12" s="1"/>
  <c r="J488" i="12" s="1"/>
  <c r="I488" i="12"/>
  <c r="G488" i="12" s="1"/>
  <c r="J373" i="11"/>
  <c r="I373" i="11"/>
  <c r="G373" i="11" s="1"/>
  <c r="D374" i="11" s="1"/>
  <c r="D373" i="12"/>
  <c r="I483" i="11"/>
  <c r="G483" i="11" s="1"/>
  <c r="H483" i="11"/>
  <c r="A483" i="11"/>
  <c r="E483" i="11" s="1"/>
  <c r="J483" i="11" s="1"/>
  <c r="H373" i="12" l="1"/>
  <c r="E373" i="12"/>
  <c r="I489" i="12"/>
  <c r="G489" i="12" s="1"/>
  <c r="A489" i="12"/>
  <c r="E489" i="12" s="1"/>
  <c r="J489" i="12" s="1"/>
  <c r="H489" i="12"/>
  <c r="K485" i="11"/>
  <c r="F485" i="11"/>
  <c r="C486" i="11"/>
  <c r="B485" i="11"/>
  <c r="L372" i="12"/>
  <c r="D375" i="11"/>
  <c r="L374" i="11"/>
  <c r="L373" i="11"/>
  <c r="C491" i="12"/>
  <c r="F490" i="12"/>
  <c r="B490" i="12"/>
  <c r="K490" i="12"/>
  <c r="A484" i="11"/>
  <c r="I373" i="12" l="1"/>
  <c r="G373" i="12" s="1"/>
  <c r="D374" i="12" s="1"/>
  <c r="A490" i="12"/>
  <c r="C492" i="12"/>
  <c r="B491" i="12"/>
  <c r="F491" i="12"/>
  <c r="K491" i="12"/>
  <c r="C487" i="11"/>
  <c r="F486" i="11"/>
  <c r="K486" i="11"/>
  <c r="B486" i="11"/>
  <c r="D376" i="11"/>
  <c r="L375" i="11"/>
  <c r="A485" i="11"/>
  <c r="E485" i="11" s="1"/>
  <c r="H485" i="11"/>
  <c r="I485" i="11"/>
  <c r="G485" i="11" s="1"/>
  <c r="I491" i="12" l="1"/>
  <c r="G491" i="12" s="1"/>
  <c r="A491" i="12"/>
  <c r="E491" i="12" s="1"/>
  <c r="J491" i="12" s="1"/>
  <c r="H491" i="12"/>
  <c r="J373" i="12"/>
  <c r="H486" i="11"/>
  <c r="I486" i="11"/>
  <c r="G486" i="11" s="1"/>
  <c r="A486" i="11"/>
  <c r="E486" i="11" s="1"/>
  <c r="J486" i="11" s="1"/>
  <c r="J485" i="11"/>
  <c r="H376" i="11"/>
  <c r="E376" i="11"/>
  <c r="C488" i="11"/>
  <c r="F487" i="11"/>
  <c r="B487" i="11"/>
  <c r="K487" i="11"/>
  <c r="C493" i="12"/>
  <c r="B492" i="12"/>
  <c r="K492" i="12"/>
  <c r="F492" i="12"/>
  <c r="D375" i="12"/>
  <c r="L373" i="12"/>
  <c r="A487" i="11" l="1"/>
  <c r="K488" i="11"/>
  <c r="F488" i="11"/>
  <c r="C489" i="11"/>
  <c r="B488" i="11"/>
  <c r="D376" i="12"/>
  <c r="L375" i="12"/>
  <c r="C494" i="12"/>
  <c r="F493" i="12"/>
  <c r="B493" i="12"/>
  <c r="K493" i="12"/>
  <c r="L374" i="12"/>
  <c r="A492" i="12"/>
  <c r="E492" i="12" s="1"/>
  <c r="J492" i="12" s="1"/>
  <c r="I492" i="12"/>
  <c r="G492" i="12" s="1"/>
  <c r="H492" i="12"/>
  <c r="I376" i="11"/>
  <c r="G376" i="11" s="1"/>
  <c r="D377" i="11" s="1"/>
  <c r="D378" i="11" l="1"/>
  <c r="L377" i="11" s="1"/>
  <c r="L376" i="11"/>
  <c r="J376" i="11"/>
  <c r="A493" i="12"/>
  <c r="K494" i="12"/>
  <c r="B494" i="12"/>
  <c r="F494" i="12"/>
  <c r="C495" i="12"/>
  <c r="H376" i="12"/>
  <c r="E376" i="12"/>
  <c r="C490" i="11"/>
  <c r="F489" i="11"/>
  <c r="K489" i="11"/>
  <c r="B489" i="11"/>
  <c r="A488" i="11"/>
  <c r="E488" i="11" s="1"/>
  <c r="I488" i="11"/>
  <c r="G488" i="11" s="1"/>
  <c r="H488" i="11"/>
  <c r="I376" i="12" l="1"/>
  <c r="G376" i="12" s="1"/>
  <c r="D377" i="12" s="1"/>
  <c r="K495" i="12"/>
  <c r="B495" i="12"/>
  <c r="F495" i="12"/>
  <c r="C496" i="12"/>
  <c r="H494" i="12"/>
  <c r="A494" i="12"/>
  <c r="E494" i="12" s="1"/>
  <c r="J494" i="12" s="1"/>
  <c r="I494" i="12"/>
  <c r="G494" i="12" s="1"/>
  <c r="J488" i="11"/>
  <c r="C491" i="11"/>
  <c r="F490" i="11"/>
  <c r="B490" i="11"/>
  <c r="K490" i="11"/>
  <c r="A489" i="11"/>
  <c r="E489" i="11" s="1"/>
  <c r="H489" i="11"/>
  <c r="I489" i="11"/>
  <c r="G489" i="11" s="1"/>
  <c r="D379" i="11"/>
  <c r="H379" i="11" l="1"/>
  <c r="E379" i="11"/>
  <c r="J489" i="11"/>
  <c r="L378" i="11"/>
  <c r="K496" i="12"/>
  <c r="F496" i="12"/>
  <c r="B496" i="12"/>
  <c r="C497" i="12"/>
  <c r="H495" i="12"/>
  <c r="A495" i="12"/>
  <c r="E495" i="12" s="1"/>
  <c r="I495" i="12"/>
  <c r="G495" i="12" s="1"/>
  <c r="D378" i="12"/>
  <c r="L377" i="12"/>
  <c r="L376" i="12"/>
  <c r="A490" i="11"/>
  <c r="C492" i="11"/>
  <c r="F491" i="11"/>
  <c r="K491" i="11"/>
  <c r="B491" i="11"/>
  <c r="J376" i="12"/>
  <c r="A491" i="11" l="1"/>
  <c r="E491" i="11" s="1"/>
  <c r="J491" i="11" s="1"/>
  <c r="I491" i="11"/>
  <c r="G491" i="11" s="1"/>
  <c r="H491" i="11"/>
  <c r="F492" i="11"/>
  <c r="B492" i="11"/>
  <c r="C493" i="11"/>
  <c r="K492" i="11"/>
  <c r="D379" i="12"/>
  <c r="L378" i="12"/>
  <c r="J495" i="12"/>
  <c r="F497" i="12"/>
  <c r="C498" i="12"/>
  <c r="B497" i="12"/>
  <c r="K497" i="12"/>
  <c r="J379" i="11"/>
  <c r="I379" i="11"/>
  <c r="G379" i="11" s="1"/>
  <c r="D380" i="11" s="1"/>
  <c r="A496" i="12"/>
  <c r="A497" i="12" l="1"/>
  <c r="E497" i="12" s="1"/>
  <c r="H497" i="12"/>
  <c r="I497" i="12"/>
  <c r="G497" i="12" s="1"/>
  <c r="D381" i="11"/>
  <c r="L380" i="11"/>
  <c r="L379" i="11"/>
  <c r="C499" i="12"/>
  <c r="F498" i="12"/>
  <c r="B498" i="12"/>
  <c r="K498" i="12"/>
  <c r="H379" i="12"/>
  <c r="E379" i="12"/>
  <c r="K493" i="11"/>
  <c r="F493" i="11"/>
  <c r="C494" i="11"/>
  <c r="B493" i="11"/>
  <c r="A492" i="11"/>
  <c r="E492" i="11" s="1"/>
  <c r="J492" i="11" s="1"/>
  <c r="I492" i="11"/>
  <c r="G492" i="11" s="1"/>
  <c r="H492" i="11"/>
  <c r="A493" i="11" l="1"/>
  <c r="I379" i="12"/>
  <c r="G379" i="12" s="1"/>
  <c r="D380" i="12" s="1"/>
  <c r="D382" i="11"/>
  <c r="L381" i="11"/>
  <c r="C495" i="11"/>
  <c r="B494" i="11"/>
  <c r="F494" i="11"/>
  <c r="K494" i="11"/>
  <c r="I498" i="12"/>
  <c r="G498" i="12" s="1"/>
  <c r="A498" i="12"/>
  <c r="E498" i="12" s="1"/>
  <c r="J498" i="12" s="1"/>
  <c r="H498" i="12"/>
  <c r="K499" i="12"/>
  <c r="B499" i="12"/>
  <c r="F499" i="12"/>
  <c r="C500" i="12"/>
  <c r="J497" i="12"/>
  <c r="F500" i="12" l="1"/>
  <c r="B500" i="12"/>
  <c r="K500" i="12"/>
  <c r="A499" i="12"/>
  <c r="F495" i="11"/>
  <c r="B495" i="11"/>
  <c r="C496" i="11"/>
  <c r="K495" i="11"/>
  <c r="H382" i="11"/>
  <c r="E382" i="11"/>
  <c r="J379" i="12"/>
  <c r="I494" i="11"/>
  <c r="G494" i="11" s="1"/>
  <c r="A494" i="11"/>
  <c r="E494" i="11" s="1"/>
  <c r="J494" i="11" s="1"/>
  <c r="H494" i="11"/>
  <c r="D381" i="12"/>
  <c r="L379" i="12"/>
  <c r="D382" i="12" l="1"/>
  <c r="L381" i="12" s="1"/>
  <c r="L380" i="12"/>
  <c r="I382" i="11"/>
  <c r="G382" i="11" s="1"/>
  <c r="D383" i="11" s="1"/>
  <c r="I495" i="11"/>
  <c r="G495" i="11" s="1"/>
  <c r="A495" i="11"/>
  <c r="E495" i="11" s="1"/>
  <c r="J495" i="11" s="1"/>
  <c r="H495" i="11"/>
  <c r="A500" i="12"/>
  <c r="E500" i="12" s="1"/>
  <c r="I500" i="12"/>
  <c r="G500" i="12" s="1"/>
  <c r="H5" i="12" s="1"/>
  <c r="D56" i="6" s="1"/>
  <c r="H500" i="12"/>
  <c r="K496" i="11"/>
  <c r="F496" i="11"/>
  <c r="B496" i="11"/>
  <c r="C497" i="11"/>
  <c r="AB4" i="12"/>
  <c r="AA6" i="12"/>
  <c r="W57" i="6" s="1"/>
  <c r="AA4" i="12"/>
  <c r="AC4" i="12"/>
  <c r="AA5" i="12"/>
  <c r="W56" i="6" s="1"/>
  <c r="AC6" i="12"/>
  <c r="Y57" i="6" s="1"/>
  <c r="AB5" i="12"/>
  <c r="X56" i="6" s="1"/>
  <c r="AC5" i="12"/>
  <c r="Y56" i="6" s="1"/>
  <c r="AB6" i="12"/>
  <c r="X57" i="6" s="1"/>
  <c r="G5" i="12"/>
  <c r="I5" i="12"/>
  <c r="E56" i="6" s="1"/>
  <c r="I4" i="12"/>
  <c r="I6" i="12"/>
  <c r="E57" i="6" s="1"/>
  <c r="E85" i="6" s="1"/>
  <c r="K4" i="12"/>
  <c r="J6" i="12"/>
  <c r="F57" i="6" s="1"/>
  <c r="F85" i="6" s="1"/>
  <c r="J4" i="12"/>
  <c r="J5" i="12"/>
  <c r="F56" i="6" s="1"/>
  <c r="L4" i="12"/>
  <c r="L5" i="12"/>
  <c r="H56" i="6" s="1"/>
  <c r="K6" i="12"/>
  <c r="G57" i="6" s="1"/>
  <c r="G85" i="6" s="1"/>
  <c r="L6" i="12"/>
  <c r="H57" i="6" s="1"/>
  <c r="H85" i="6" s="1"/>
  <c r="K5" i="12"/>
  <c r="G56" i="6" s="1"/>
  <c r="M5" i="12"/>
  <c r="I56" i="6" s="1"/>
  <c r="N5" i="12"/>
  <c r="J56" i="6" s="1"/>
  <c r="O4" i="12"/>
  <c r="M6" i="12"/>
  <c r="I57" i="6" s="1"/>
  <c r="I85" i="6" s="1"/>
  <c r="N4" i="12"/>
  <c r="Q4" i="12"/>
  <c r="M4" i="12"/>
  <c r="O5" i="12"/>
  <c r="K56" i="6" s="1"/>
  <c r="O6" i="12"/>
  <c r="K57" i="6" s="1"/>
  <c r="K85" i="6" s="1"/>
  <c r="N6" i="12"/>
  <c r="J57" i="6" s="1"/>
  <c r="J85" i="6" s="1"/>
  <c r="P4" i="12"/>
  <c r="Q5" i="12"/>
  <c r="M56" i="6" s="1"/>
  <c r="P6" i="12"/>
  <c r="L57" i="6" s="1"/>
  <c r="L85" i="6" s="1"/>
  <c r="P5" i="12"/>
  <c r="L56" i="6" s="1"/>
  <c r="Q6" i="12"/>
  <c r="M57" i="6" s="1"/>
  <c r="M85" i="6" s="1"/>
  <c r="S5" i="12"/>
  <c r="O56" i="6" s="1"/>
  <c r="R5" i="12"/>
  <c r="N56" i="6" s="1"/>
  <c r="R4" i="12"/>
  <c r="V6" i="12"/>
  <c r="R57" i="6" s="1"/>
  <c r="R85" i="6" s="1"/>
  <c r="R6" i="12"/>
  <c r="N57" i="6" s="1"/>
  <c r="N85" i="6" s="1"/>
  <c r="V5" i="12"/>
  <c r="R56" i="6" s="1"/>
  <c r="T6" i="12"/>
  <c r="P57" i="6" s="1"/>
  <c r="P85" i="6" s="1"/>
  <c r="S4" i="12"/>
  <c r="T5" i="12"/>
  <c r="P56" i="6" s="1"/>
  <c r="T4" i="12"/>
  <c r="S6" i="12"/>
  <c r="O57" i="6" s="1"/>
  <c r="O85" i="6" s="1"/>
  <c r="U4" i="12"/>
  <c r="W5" i="12"/>
  <c r="S56" i="6" s="1"/>
  <c r="U6" i="12"/>
  <c r="Q57" i="6" s="1"/>
  <c r="Q85" i="6" s="1"/>
  <c r="U5" i="12"/>
  <c r="Q56" i="6" s="1"/>
  <c r="V4" i="12"/>
  <c r="W4" i="12"/>
  <c r="W6" i="12"/>
  <c r="S57" i="6" s="1"/>
  <c r="S85" i="6" s="1"/>
  <c r="X5" i="12"/>
  <c r="T56" i="6" s="1"/>
  <c r="Y6" i="12"/>
  <c r="U57" i="6" s="1"/>
  <c r="U85" i="6" s="1"/>
  <c r="X4" i="12"/>
  <c r="H4" i="12"/>
  <c r="X6" i="12"/>
  <c r="T57" i="6" s="1"/>
  <c r="T85" i="6" s="1"/>
  <c r="Z4" i="12"/>
  <c r="Y5" i="12"/>
  <c r="U56" i="6" s="1"/>
  <c r="Y4" i="12"/>
  <c r="Z6" i="12"/>
  <c r="V57" i="6" s="1"/>
  <c r="V85" i="6" s="1"/>
  <c r="Z5" i="12"/>
  <c r="V56" i="6" s="1"/>
  <c r="X7" i="12" l="1"/>
  <c r="T55" i="6"/>
  <c r="T67" i="6" s="1"/>
  <c r="S55" i="6"/>
  <c r="S67" i="6" s="1"/>
  <c r="W7" i="12"/>
  <c r="R7" i="12"/>
  <c r="N55" i="6"/>
  <c r="N67" i="6" s="1"/>
  <c r="M55" i="6"/>
  <c r="M67" i="6" s="1"/>
  <c r="Q7" i="12"/>
  <c r="H55" i="6"/>
  <c r="H67" i="6" s="1"/>
  <c r="L7" i="12"/>
  <c r="F55" i="6"/>
  <c r="F67" i="6" s="1"/>
  <c r="J7" i="12"/>
  <c r="G55" i="6"/>
  <c r="G67" i="6" s="1"/>
  <c r="K7" i="12"/>
  <c r="E55" i="6"/>
  <c r="E67" i="6" s="1"/>
  <c r="I7" i="12"/>
  <c r="E5" i="12"/>
  <c r="F5" i="12" s="1"/>
  <c r="C56" i="6"/>
  <c r="Y85" i="6"/>
  <c r="Y67" i="6"/>
  <c r="Y55" i="6"/>
  <c r="AC7" i="12"/>
  <c r="W85" i="6"/>
  <c r="W67" i="6"/>
  <c r="A496" i="11"/>
  <c r="J382" i="11"/>
  <c r="U55" i="6"/>
  <c r="U67" i="6" s="1"/>
  <c r="Y7" i="12"/>
  <c r="V55" i="6"/>
  <c r="V67" i="6" s="1"/>
  <c r="Z7" i="12"/>
  <c r="D55" i="6"/>
  <c r="D67" i="6" s="1"/>
  <c r="R55" i="6"/>
  <c r="R67" i="6" s="1"/>
  <c r="V7" i="12"/>
  <c r="Q55" i="6"/>
  <c r="Q67" i="6" s="1"/>
  <c r="U7" i="12"/>
  <c r="P55" i="6"/>
  <c r="P67" i="6" s="1"/>
  <c r="T7" i="12"/>
  <c r="O55" i="6"/>
  <c r="O67" i="6" s="1"/>
  <c r="S7" i="12"/>
  <c r="P7" i="12"/>
  <c r="L55" i="6"/>
  <c r="L67" i="6" s="1"/>
  <c r="I55" i="6"/>
  <c r="I67" i="6" s="1"/>
  <c r="M7" i="12"/>
  <c r="N7" i="12"/>
  <c r="J55" i="6"/>
  <c r="J67" i="6" s="1"/>
  <c r="K55" i="6"/>
  <c r="K67" i="6" s="1"/>
  <c r="O7" i="12"/>
  <c r="X85" i="6"/>
  <c r="X67" i="6"/>
  <c r="W55" i="6"/>
  <c r="AA7" i="12"/>
  <c r="X55" i="6"/>
  <c r="AB7" i="12"/>
  <c r="C498" i="11"/>
  <c r="B497" i="11"/>
  <c r="F497" i="11"/>
  <c r="K497" i="11"/>
  <c r="J500" i="12"/>
  <c r="G4" i="12"/>
  <c r="D384" i="11"/>
  <c r="L382" i="11"/>
  <c r="H382" i="12"/>
  <c r="E382" i="12"/>
  <c r="C55" i="6" l="1"/>
  <c r="C67" i="6" s="1"/>
  <c r="E4" i="12"/>
  <c r="I497" i="11"/>
  <c r="G497" i="11" s="1"/>
  <c r="H497" i="11"/>
  <c r="A497" i="11"/>
  <c r="E497" i="11" s="1"/>
  <c r="J497" i="11" s="1"/>
  <c r="X68" i="6"/>
  <c r="X100" i="6" s="1"/>
  <c r="X69" i="6"/>
  <c r="J68" i="6"/>
  <c r="J100" i="6" s="1"/>
  <c r="J69" i="6"/>
  <c r="L68" i="6"/>
  <c r="L100" i="6" s="1"/>
  <c r="L69" i="6"/>
  <c r="D68" i="6"/>
  <c r="D100" i="6" s="1"/>
  <c r="D69" i="6"/>
  <c r="W68" i="6"/>
  <c r="W100" i="6" s="1"/>
  <c r="Y68" i="6"/>
  <c r="Y100" i="6" s="1"/>
  <c r="Y69" i="6"/>
  <c r="N68" i="6"/>
  <c r="N100" i="6" s="1"/>
  <c r="T68" i="6"/>
  <c r="T100" i="6" s="1"/>
  <c r="I382" i="12"/>
  <c r="G382" i="12" s="1"/>
  <c r="D383" i="12" s="1"/>
  <c r="D385" i="11"/>
  <c r="L383" i="11"/>
  <c r="G6" i="12"/>
  <c r="H6" i="12"/>
  <c r="C499" i="11"/>
  <c r="K498" i="11"/>
  <c r="B498" i="11"/>
  <c r="F498" i="11"/>
  <c r="X87" i="6"/>
  <c r="X88" i="6"/>
  <c r="K68" i="6"/>
  <c r="K100" i="6" s="1"/>
  <c r="I68" i="6"/>
  <c r="I100" i="6" s="1"/>
  <c r="O68" i="6"/>
  <c r="O100" i="6" s="1"/>
  <c r="O69" i="6"/>
  <c r="P68" i="6"/>
  <c r="P100" i="6" s="1"/>
  <c r="P69" i="6"/>
  <c r="Q68" i="6"/>
  <c r="Q100" i="6" s="1"/>
  <c r="Q69" i="6"/>
  <c r="R68" i="6"/>
  <c r="R100" i="6" s="1"/>
  <c r="R69" i="6"/>
  <c r="V68" i="6"/>
  <c r="V100" i="6" s="1"/>
  <c r="V69" i="6"/>
  <c r="U68" i="6"/>
  <c r="U100" i="6" s="1"/>
  <c r="W87" i="6"/>
  <c r="W88" i="6"/>
  <c r="Y87" i="6"/>
  <c r="Y88" i="6"/>
  <c r="E69" i="6"/>
  <c r="E68" i="6"/>
  <c r="E100" i="6" s="1"/>
  <c r="G68" i="6"/>
  <c r="G100" i="6" s="1"/>
  <c r="F69" i="6"/>
  <c r="F68" i="6"/>
  <c r="F100" i="6" s="1"/>
  <c r="H69" i="6"/>
  <c r="H68" i="6"/>
  <c r="H100" i="6" s="1"/>
  <c r="M69" i="6"/>
  <c r="M68" i="6"/>
  <c r="M100" i="6" s="1"/>
  <c r="S69" i="6"/>
  <c r="S68" i="6"/>
  <c r="S100" i="6" s="1"/>
  <c r="M70" i="6" l="1"/>
  <c r="M81" i="6"/>
  <c r="M83" i="6" s="1"/>
  <c r="M73" i="6"/>
  <c r="H73" i="6"/>
  <c r="H81" i="6"/>
  <c r="H83" i="6" s="1"/>
  <c r="H70" i="6"/>
  <c r="F81" i="6"/>
  <c r="F83" i="6" s="1"/>
  <c r="F70" i="6"/>
  <c r="F73" i="6"/>
  <c r="E73" i="6"/>
  <c r="E70" i="6"/>
  <c r="E81" i="6"/>
  <c r="E83" i="6" s="1"/>
  <c r="V73" i="6"/>
  <c r="V70" i="6"/>
  <c r="V81" i="6"/>
  <c r="V83" i="6" s="1"/>
  <c r="R81" i="6"/>
  <c r="R83" i="6" s="1"/>
  <c r="R73" i="6"/>
  <c r="R70" i="6"/>
  <c r="Q73" i="6"/>
  <c r="Q81" i="6"/>
  <c r="Q83" i="6" s="1"/>
  <c r="Q70" i="6"/>
  <c r="P81" i="6"/>
  <c r="P83" i="6" s="1"/>
  <c r="P70" i="6"/>
  <c r="P73" i="6"/>
  <c r="O70" i="6"/>
  <c r="O81" i="6"/>
  <c r="O83" i="6" s="1"/>
  <c r="O73" i="6"/>
  <c r="D57" i="6"/>
  <c r="D85" i="6" s="1"/>
  <c r="H7" i="12"/>
  <c r="H385" i="11"/>
  <c r="E385" i="11"/>
  <c r="D384" i="12"/>
  <c r="L383" i="12" s="1"/>
  <c r="L382" i="12"/>
  <c r="Y81" i="6"/>
  <c r="Y83" i="6" s="1"/>
  <c r="Y73" i="6"/>
  <c r="Y70" i="6"/>
  <c r="D73" i="6"/>
  <c r="D81" i="6"/>
  <c r="D83" i="6" s="1"/>
  <c r="D70" i="6"/>
  <c r="L70" i="6"/>
  <c r="L73" i="6"/>
  <c r="L81" i="6"/>
  <c r="L83" i="6" s="1"/>
  <c r="J81" i="6"/>
  <c r="J83" i="6" s="1"/>
  <c r="J73" i="6"/>
  <c r="J70" i="6"/>
  <c r="X81" i="6"/>
  <c r="X83" i="6" s="1"/>
  <c r="X70" i="6"/>
  <c r="X73" i="6"/>
  <c r="C68" i="6"/>
  <c r="C100" i="6" s="1"/>
  <c r="B101" i="6" s="1"/>
  <c r="C69" i="6"/>
  <c r="S70" i="6"/>
  <c r="S81" i="6"/>
  <c r="S83" i="6" s="1"/>
  <c r="S73" i="6"/>
  <c r="G69" i="6"/>
  <c r="U69" i="6"/>
  <c r="I69" i="6"/>
  <c r="K69" i="6"/>
  <c r="A498" i="11"/>
  <c r="E498" i="11" s="1"/>
  <c r="J498" i="11" s="1"/>
  <c r="I498" i="11"/>
  <c r="G498" i="11" s="1"/>
  <c r="H498" i="11"/>
  <c r="C500" i="11"/>
  <c r="B499" i="11"/>
  <c r="K499" i="11"/>
  <c r="F499" i="11"/>
  <c r="C57" i="6"/>
  <c r="C85" i="6" s="1"/>
  <c r="E6" i="12"/>
  <c r="L384" i="11"/>
  <c r="J382" i="12"/>
  <c r="T69" i="6"/>
  <c r="N69" i="6"/>
  <c r="W69" i="6"/>
  <c r="G7" i="12"/>
  <c r="A499" i="11" l="1"/>
  <c r="W70" i="6"/>
  <c r="W73" i="6"/>
  <c r="W81" i="6"/>
  <c r="W83" i="6" s="1"/>
  <c r="T73" i="6"/>
  <c r="T70" i="6"/>
  <c r="T81" i="6"/>
  <c r="T83" i="6" s="1"/>
  <c r="K500" i="11"/>
  <c r="B500" i="11"/>
  <c r="F500" i="11"/>
  <c r="K81" i="6"/>
  <c r="K83" i="6" s="1"/>
  <c r="K70" i="6"/>
  <c r="K73" i="6"/>
  <c r="U70" i="6"/>
  <c r="U81" i="6"/>
  <c r="U83" i="6" s="1"/>
  <c r="U73" i="6"/>
  <c r="S239" i="6"/>
  <c r="J239" i="6"/>
  <c r="J84" i="6"/>
  <c r="J92" i="6"/>
  <c r="J95" i="6" s="1"/>
  <c r="J87" i="6"/>
  <c r="D239" i="6"/>
  <c r="D74" i="6"/>
  <c r="D87" i="6"/>
  <c r="D245" i="6" s="1"/>
  <c r="O84" i="6"/>
  <c r="O92" i="6"/>
  <c r="O95" i="6" s="1"/>
  <c r="O87" i="6"/>
  <c r="P84" i="6"/>
  <c r="P92" i="6"/>
  <c r="P95" i="6" s="1"/>
  <c r="P87" i="6"/>
  <c r="Q84" i="6"/>
  <c r="Q92" i="6"/>
  <c r="Q95" i="6" s="1"/>
  <c r="Q87" i="6"/>
  <c r="R239" i="6"/>
  <c r="R92" i="6"/>
  <c r="R95" i="6" s="1"/>
  <c r="R84" i="6"/>
  <c r="R87" i="6"/>
  <c r="V239" i="6"/>
  <c r="E84" i="6"/>
  <c r="E92" i="6"/>
  <c r="E95" i="6" s="1"/>
  <c r="E87" i="6"/>
  <c r="E74" i="6"/>
  <c r="F74" i="6" s="1"/>
  <c r="F239" i="6"/>
  <c r="H239" i="6"/>
  <c r="M84" i="6"/>
  <c r="M92" i="6"/>
  <c r="M95" i="6" s="1"/>
  <c r="M87" i="6"/>
  <c r="N73" i="6"/>
  <c r="N70" i="6"/>
  <c r="N81" i="6"/>
  <c r="N83" i="6" s="1"/>
  <c r="I73" i="6"/>
  <c r="I81" i="6"/>
  <c r="I83" i="6" s="1"/>
  <c r="I70" i="6"/>
  <c r="G81" i="6"/>
  <c r="G83" i="6" s="1"/>
  <c r="G70" i="6"/>
  <c r="G73" i="6"/>
  <c r="S92" i="6"/>
  <c r="S95" i="6" s="1"/>
  <c r="S84" i="6"/>
  <c r="S87" i="6"/>
  <c r="C81" i="6"/>
  <c r="C83" i="6" s="1"/>
  <c r="C70" i="6"/>
  <c r="C73" i="6"/>
  <c r="C74" i="6" s="1"/>
  <c r="C242" i="6"/>
  <c r="D242" i="6" s="1"/>
  <c r="E242" i="6" s="1"/>
  <c r="F242" i="6" s="1"/>
  <c r="G242" i="6" s="1"/>
  <c r="H242" i="6" s="1"/>
  <c r="I242" i="6" s="1"/>
  <c r="J242" i="6" s="1"/>
  <c r="K242" i="6" s="1"/>
  <c r="L242" i="6" s="1"/>
  <c r="M242" i="6" s="1"/>
  <c r="N242" i="6" s="1"/>
  <c r="O242" i="6" s="1"/>
  <c r="P242" i="6" s="1"/>
  <c r="Q242" i="6" s="1"/>
  <c r="R242" i="6" s="1"/>
  <c r="S242" i="6" s="1"/>
  <c r="T242" i="6" s="1"/>
  <c r="U242" i="6" s="1"/>
  <c r="V242" i="6" s="1"/>
  <c r="C116" i="6"/>
  <c r="D116" i="6" s="1"/>
  <c r="E116" i="6" s="1"/>
  <c r="F116" i="6" s="1"/>
  <c r="G116" i="6" s="1"/>
  <c r="H116" i="6" s="1"/>
  <c r="I116" i="6" s="1"/>
  <c r="J116" i="6" s="1"/>
  <c r="K116" i="6" s="1"/>
  <c r="L116" i="6" s="1"/>
  <c r="M116" i="6" s="1"/>
  <c r="N116" i="6" s="1"/>
  <c r="O116" i="6" s="1"/>
  <c r="P116" i="6" s="1"/>
  <c r="Q116" i="6" s="1"/>
  <c r="R116" i="6" s="1"/>
  <c r="S116" i="6" s="1"/>
  <c r="T116" i="6" s="1"/>
  <c r="U116" i="6" s="1"/>
  <c r="V116" i="6" s="1"/>
  <c r="X84" i="6"/>
  <c r="X92" i="6"/>
  <c r="X95" i="6" s="1"/>
  <c r="L92" i="6"/>
  <c r="L95" i="6" s="1"/>
  <c r="L84" i="6"/>
  <c r="L87" i="6"/>
  <c r="L239" i="6"/>
  <c r="D84" i="6"/>
  <c r="D92" i="6"/>
  <c r="D95" i="6" s="1"/>
  <c r="Y92" i="6"/>
  <c r="Y95" i="6" s="1"/>
  <c r="Y84" i="6"/>
  <c r="D385" i="12"/>
  <c r="L384" i="12" s="1"/>
  <c r="J385" i="11"/>
  <c r="I385" i="11"/>
  <c r="G385" i="11" s="1"/>
  <c r="D386" i="11" s="1"/>
  <c r="O239" i="6"/>
  <c r="P239" i="6"/>
  <c r="Q239" i="6"/>
  <c r="V84" i="6"/>
  <c r="V92" i="6"/>
  <c r="V95" i="6" s="1"/>
  <c r="V87" i="6"/>
  <c r="E239" i="6"/>
  <c r="F84" i="6"/>
  <c r="F92" i="6"/>
  <c r="F95" i="6" s="1"/>
  <c r="F87" i="6"/>
  <c r="H92" i="6"/>
  <c r="H95" i="6" s="1"/>
  <c r="H84" i="6"/>
  <c r="H87" i="6"/>
  <c r="M239" i="6"/>
  <c r="C71" i="6" l="1"/>
  <c r="D71" i="6" s="1"/>
  <c r="E71" i="6" s="1"/>
  <c r="F71" i="6" s="1"/>
  <c r="C239" i="6"/>
  <c r="S245" i="6"/>
  <c r="S88" i="6"/>
  <c r="G239" i="6"/>
  <c r="G71" i="6"/>
  <c r="H71" i="6" s="1"/>
  <c r="I239" i="6"/>
  <c r="I71" i="6"/>
  <c r="J71" i="6" s="1"/>
  <c r="N239" i="6"/>
  <c r="M245" i="6"/>
  <c r="M88" i="6"/>
  <c r="R245" i="6"/>
  <c r="R88" i="6"/>
  <c r="P245" i="6"/>
  <c r="P88" i="6"/>
  <c r="O245" i="6"/>
  <c r="O88" i="6"/>
  <c r="H245" i="6"/>
  <c r="H88" i="6"/>
  <c r="V245" i="6"/>
  <c r="V88" i="6"/>
  <c r="D387" i="11"/>
  <c r="L386" i="11"/>
  <c r="L385" i="11"/>
  <c r="C92" i="6"/>
  <c r="I132" i="6"/>
  <c r="J132" i="6"/>
  <c r="K122" i="6"/>
  <c r="D122" i="6"/>
  <c r="N127" i="6"/>
  <c r="L127" i="6"/>
  <c r="I127" i="6"/>
  <c r="C122" i="6"/>
  <c r="N132" i="6"/>
  <c r="C127" i="6"/>
  <c r="K127" i="6"/>
  <c r="F122" i="6"/>
  <c r="F132" i="6"/>
  <c r="J122" i="6"/>
  <c r="C132" i="6"/>
  <c r="N122" i="6"/>
  <c r="H127" i="6"/>
  <c r="M127" i="6"/>
  <c r="F127" i="6"/>
  <c r="C84" i="6"/>
  <c r="J127" i="6"/>
  <c r="O122" i="6"/>
  <c r="M122" i="6"/>
  <c r="E122" i="6"/>
  <c r="G127" i="6"/>
  <c r="E132" i="6"/>
  <c r="D127" i="6"/>
  <c r="K132" i="6"/>
  <c r="G132" i="6"/>
  <c r="L132" i="6"/>
  <c r="D132" i="6"/>
  <c r="H122" i="6"/>
  <c r="I122" i="6"/>
  <c r="O127" i="6"/>
  <c r="M132" i="6"/>
  <c r="L122" i="6"/>
  <c r="E127" i="6"/>
  <c r="H132" i="6"/>
  <c r="G122" i="6"/>
  <c r="O132" i="6"/>
  <c r="G74" i="6"/>
  <c r="H74" i="6" s="1"/>
  <c r="I74" i="6" s="1"/>
  <c r="J74" i="6" s="1"/>
  <c r="K74" i="6" s="1"/>
  <c r="L74" i="6" s="1"/>
  <c r="M74" i="6" s="1"/>
  <c r="N74" i="6" s="1"/>
  <c r="O74" i="6" s="1"/>
  <c r="P74" i="6" s="1"/>
  <c r="Q74" i="6" s="1"/>
  <c r="R74" i="6" s="1"/>
  <c r="S74" i="6" s="1"/>
  <c r="T74" i="6" s="1"/>
  <c r="U74" i="6" s="1"/>
  <c r="V74" i="6" s="1"/>
  <c r="W74" i="6" s="1"/>
  <c r="X74" i="6" s="1"/>
  <c r="Y74" i="6" s="1"/>
  <c r="Z74" i="6" s="1"/>
  <c r="AA74" i="6" s="1"/>
  <c r="G92" i="6"/>
  <c r="G95" i="6" s="1"/>
  <c r="G84" i="6"/>
  <c r="G87" i="6"/>
  <c r="I92" i="6"/>
  <c r="I95" i="6" s="1"/>
  <c r="I84" i="6"/>
  <c r="I87" i="6"/>
  <c r="N92" i="6"/>
  <c r="N95" i="6" s="1"/>
  <c r="N84" i="6"/>
  <c r="N87" i="6"/>
  <c r="E245" i="6"/>
  <c r="E88" i="6"/>
  <c r="Q245" i="6"/>
  <c r="Q88" i="6"/>
  <c r="D88" i="6"/>
  <c r="U239" i="6"/>
  <c r="K71" i="6"/>
  <c r="L71" i="6" s="1"/>
  <c r="M71" i="6" s="1"/>
  <c r="N71" i="6" s="1"/>
  <c r="O71" i="6" s="1"/>
  <c r="P71" i="6" s="1"/>
  <c r="Q71" i="6" s="1"/>
  <c r="R71" i="6" s="1"/>
  <c r="S71" i="6" s="1"/>
  <c r="T71" i="6" s="1"/>
  <c r="U71" i="6" s="1"/>
  <c r="V71" i="6" s="1"/>
  <c r="W71" i="6" s="1"/>
  <c r="X71" i="6" s="1"/>
  <c r="Y71" i="6" s="1"/>
  <c r="Z71" i="6" s="1"/>
  <c r="AA71" i="6" s="1"/>
  <c r="K239" i="6"/>
  <c r="K6" i="11"/>
  <c r="G57" i="2" s="1"/>
  <c r="G85" i="2" s="1"/>
  <c r="J6" i="11"/>
  <c r="F57" i="2" s="1"/>
  <c r="F85" i="2" s="1"/>
  <c r="L4" i="11"/>
  <c r="K4" i="11"/>
  <c r="AC4" i="11"/>
  <c r="K5" i="11"/>
  <c r="G56" i="2" s="1"/>
  <c r="AA4" i="11"/>
  <c r="AC6" i="11"/>
  <c r="Y57" i="2" s="1"/>
  <c r="AB6" i="11"/>
  <c r="X57" i="2" s="1"/>
  <c r="I6" i="11"/>
  <c r="E57" i="2" s="1"/>
  <c r="E85" i="2" s="1"/>
  <c r="L5" i="11"/>
  <c r="H56" i="2" s="1"/>
  <c r="AC5" i="11"/>
  <c r="Y56" i="2" s="1"/>
  <c r="I4" i="11"/>
  <c r="R6" i="11"/>
  <c r="N57" i="2" s="1"/>
  <c r="N85" i="2" s="1"/>
  <c r="N6" i="11"/>
  <c r="J57" i="2" s="1"/>
  <c r="J85" i="2" s="1"/>
  <c r="J4" i="11"/>
  <c r="AA5" i="11"/>
  <c r="W56" i="2" s="1"/>
  <c r="AA6" i="11"/>
  <c r="W57" i="2" s="1"/>
  <c r="M5" i="11"/>
  <c r="I56" i="2" s="1"/>
  <c r="L6" i="11"/>
  <c r="H57" i="2" s="1"/>
  <c r="H85" i="2" s="1"/>
  <c r="I5" i="11"/>
  <c r="E56" i="2" s="1"/>
  <c r="J5" i="11"/>
  <c r="F56" i="2" s="1"/>
  <c r="N4" i="11"/>
  <c r="AB4" i="11"/>
  <c r="M4" i="11"/>
  <c r="N5" i="11"/>
  <c r="J56" i="2" s="1"/>
  <c r="AB5" i="11"/>
  <c r="X56" i="2" s="1"/>
  <c r="M6" i="11"/>
  <c r="I57" i="2" s="1"/>
  <c r="I85" i="2" s="1"/>
  <c r="P4" i="11"/>
  <c r="P5" i="11"/>
  <c r="L56" i="2" s="1"/>
  <c r="O6" i="11"/>
  <c r="K57" i="2" s="1"/>
  <c r="K85" i="2" s="1"/>
  <c r="O5" i="11"/>
  <c r="K56" i="2" s="1"/>
  <c r="P6" i="11"/>
  <c r="L57" i="2" s="1"/>
  <c r="L85" i="2" s="1"/>
  <c r="O4" i="11"/>
  <c r="R4" i="11"/>
  <c r="R5" i="11"/>
  <c r="N56" i="2" s="1"/>
  <c r="Q6" i="11"/>
  <c r="M57" i="2" s="1"/>
  <c r="M85" i="2" s="1"/>
  <c r="Q5" i="11"/>
  <c r="M56" i="2" s="1"/>
  <c r="Q4" i="11"/>
  <c r="S6" i="11"/>
  <c r="O57" i="2" s="1"/>
  <c r="O85" i="2" s="1"/>
  <c r="T6" i="11"/>
  <c r="P57" i="2" s="1"/>
  <c r="P85" i="2" s="1"/>
  <c r="S4" i="11"/>
  <c r="S5" i="11"/>
  <c r="O56" i="2" s="1"/>
  <c r="G4" i="11"/>
  <c r="W5" i="11"/>
  <c r="S56" i="2" s="1"/>
  <c r="V5" i="11"/>
  <c r="R56" i="2" s="1"/>
  <c r="T4" i="11"/>
  <c r="T5" i="11"/>
  <c r="P56" i="2" s="1"/>
  <c r="U6" i="11"/>
  <c r="Q57" i="2" s="1"/>
  <c r="Q85" i="2" s="1"/>
  <c r="X6" i="11"/>
  <c r="T57" i="2" s="1"/>
  <c r="T85" i="2" s="1"/>
  <c r="U4" i="11"/>
  <c r="U5" i="11"/>
  <c r="Q56" i="2" s="1"/>
  <c r="V6" i="11"/>
  <c r="R57" i="2" s="1"/>
  <c r="R85" i="2" s="1"/>
  <c r="Y5" i="11"/>
  <c r="U56" i="2" s="1"/>
  <c r="V4" i="11"/>
  <c r="W6" i="11"/>
  <c r="S57" i="2" s="1"/>
  <c r="S85" i="2" s="1"/>
  <c r="W4" i="11"/>
  <c r="X4" i="11"/>
  <c r="X5" i="11"/>
  <c r="T56" i="2" s="1"/>
  <c r="Y6" i="11"/>
  <c r="U57" i="2" s="1"/>
  <c r="U85" i="2" s="1"/>
  <c r="Z5" i="11"/>
  <c r="V56" i="2" s="1"/>
  <c r="Z4" i="11"/>
  <c r="Z6" i="11"/>
  <c r="V57" i="2" s="1"/>
  <c r="V85" i="2" s="1"/>
  <c r="Y4" i="11"/>
  <c r="C87" i="6"/>
  <c r="T239" i="6"/>
  <c r="W84" i="6"/>
  <c r="W92" i="6"/>
  <c r="W95" i="6" s="1"/>
  <c r="F245" i="6"/>
  <c r="F88" i="6"/>
  <c r="H385" i="12"/>
  <c r="E385" i="12"/>
  <c r="L245" i="6"/>
  <c r="L88" i="6"/>
  <c r="J245" i="6"/>
  <c r="J88" i="6"/>
  <c r="U92" i="6"/>
  <c r="U95" i="6" s="1"/>
  <c r="U84" i="6"/>
  <c r="U87" i="6"/>
  <c r="K92" i="6"/>
  <c r="K95" i="6" s="1"/>
  <c r="K84" i="6"/>
  <c r="K87" i="6"/>
  <c r="A500" i="11"/>
  <c r="E500" i="11" s="1"/>
  <c r="H500" i="11"/>
  <c r="I500" i="11"/>
  <c r="G500" i="11" s="1"/>
  <c r="T92" i="6"/>
  <c r="T95" i="6" s="1"/>
  <c r="T84" i="6"/>
  <c r="T87" i="6"/>
  <c r="G5" i="11" l="1"/>
  <c r="H5" i="11"/>
  <c r="D56" i="2" s="1"/>
  <c r="J500" i="11"/>
  <c r="H4" i="11"/>
  <c r="J385" i="12"/>
  <c r="I385" i="12"/>
  <c r="G385" i="12" s="1"/>
  <c r="D386" i="12" s="1"/>
  <c r="V55" i="2"/>
  <c r="V67" i="2" s="1"/>
  <c r="Z7" i="11"/>
  <c r="T55" i="2"/>
  <c r="T67" i="2" s="1"/>
  <c r="X7" i="11"/>
  <c r="C55" i="2"/>
  <c r="E4" i="11"/>
  <c r="S7" i="11"/>
  <c r="O55" i="2"/>
  <c r="O67" i="2" s="1"/>
  <c r="K55" i="2"/>
  <c r="K67" i="2" s="1"/>
  <c r="O7" i="11"/>
  <c r="AB7" i="11"/>
  <c r="X55" i="2"/>
  <c r="W85" i="2"/>
  <c r="W67" i="2"/>
  <c r="F55" i="2"/>
  <c r="F67" i="2" s="1"/>
  <c r="J7" i="11"/>
  <c r="Y85" i="2"/>
  <c r="Y67" i="2"/>
  <c r="K7" i="11"/>
  <c r="G55" i="2"/>
  <c r="G67" i="2" s="1"/>
  <c r="I245" i="6"/>
  <c r="I88" i="6"/>
  <c r="D388" i="11"/>
  <c r="Y7" i="11"/>
  <c r="U55" i="2"/>
  <c r="U67" i="2" s="1"/>
  <c r="T245" i="6"/>
  <c r="T88" i="6"/>
  <c r="K245" i="6"/>
  <c r="K88" i="6"/>
  <c r="U245" i="6"/>
  <c r="U88" i="6"/>
  <c r="C245" i="6"/>
  <c r="C88" i="6"/>
  <c r="S55" i="2"/>
  <c r="S67" i="2" s="1"/>
  <c r="W7" i="11"/>
  <c r="R55" i="2"/>
  <c r="R67" i="2" s="1"/>
  <c r="V7" i="11"/>
  <c r="Q55" i="2"/>
  <c r="Q67" i="2" s="1"/>
  <c r="U7" i="11"/>
  <c r="P55" i="2"/>
  <c r="P67" i="2" s="1"/>
  <c r="T7" i="11"/>
  <c r="Q7" i="11"/>
  <c r="M55" i="2"/>
  <c r="M67" i="2" s="1"/>
  <c r="N55" i="2"/>
  <c r="N67" i="2" s="1"/>
  <c r="R7" i="11"/>
  <c r="L55" i="2"/>
  <c r="L67" i="2" s="1"/>
  <c r="P7" i="11"/>
  <c r="M7" i="11"/>
  <c r="I55" i="2"/>
  <c r="I67" i="2" s="1"/>
  <c r="J55" i="2"/>
  <c r="J67" i="2" s="1"/>
  <c r="N7" i="11"/>
  <c r="I7" i="11"/>
  <c r="E55" i="2"/>
  <c r="E67" i="2" s="1"/>
  <c r="X85" i="2"/>
  <c r="X67" i="2"/>
  <c r="AA7" i="11"/>
  <c r="W55" i="2"/>
  <c r="AC7" i="11"/>
  <c r="Y55" i="2"/>
  <c r="H55" i="2"/>
  <c r="H67" i="2" s="1"/>
  <c r="L7" i="11"/>
  <c r="N245" i="6"/>
  <c r="N88" i="6"/>
  <c r="G245" i="6"/>
  <c r="G88" i="6"/>
  <c r="U89" i="6"/>
  <c r="C86" i="6"/>
  <c r="D89" i="6"/>
  <c r="F89" i="6"/>
  <c r="H89" i="6"/>
  <c r="J89" i="6"/>
  <c r="L89" i="6"/>
  <c r="N89" i="6"/>
  <c r="P89" i="6"/>
  <c r="R89" i="6"/>
  <c r="T89" i="6"/>
  <c r="AC89" i="6"/>
  <c r="Z89" i="6"/>
  <c r="V89" i="6"/>
  <c r="AA89" i="6"/>
  <c r="B105" i="6" s="1"/>
  <c r="K6" i="18" s="1"/>
  <c r="D27" i="25" s="1"/>
  <c r="AF89" i="6"/>
  <c r="W89" i="6"/>
  <c r="C89" i="6"/>
  <c r="G89" i="6"/>
  <c r="K89" i="6"/>
  <c r="O89" i="6"/>
  <c r="S89" i="6"/>
  <c r="X89" i="6"/>
  <c r="AE89" i="6"/>
  <c r="E89" i="6"/>
  <c r="I89" i="6"/>
  <c r="M89" i="6"/>
  <c r="Q89" i="6"/>
  <c r="AB89" i="6"/>
  <c r="Y89" i="6"/>
  <c r="AD89" i="6"/>
  <c r="C93" i="6"/>
  <c r="C95" i="6"/>
  <c r="C96" i="6" s="1"/>
  <c r="C97" i="6" l="1"/>
  <c r="D96" i="6"/>
  <c r="E96" i="6" s="1"/>
  <c r="F96" i="6" s="1"/>
  <c r="G96" i="6" s="1"/>
  <c r="H96" i="6" s="1"/>
  <c r="I96" i="6" s="1"/>
  <c r="J96" i="6" s="1"/>
  <c r="K96" i="6" s="1"/>
  <c r="L96" i="6" s="1"/>
  <c r="M96" i="6" s="1"/>
  <c r="N96" i="6" s="1"/>
  <c r="O96" i="6" s="1"/>
  <c r="P96" i="6" s="1"/>
  <c r="Q96" i="6" s="1"/>
  <c r="R96" i="6" s="1"/>
  <c r="S96" i="6" s="1"/>
  <c r="T96" i="6" s="1"/>
  <c r="U96" i="6" s="1"/>
  <c r="V96" i="6" s="1"/>
  <c r="W96" i="6" s="1"/>
  <c r="X96" i="6" s="1"/>
  <c r="Y96" i="6" s="1"/>
  <c r="Z96" i="6" s="1"/>
  <c r="AA96" i="6" s="1"/>
  <c r="AB96" i="6" s="1"/>
  <c r="AC96" i="6" s="1"/>
  <c r="AD96" i="6" s="1"/>
  <c r="AE96" i="6" s="1"/>
  <c r="AF96" i="6" s="1"/>
  <c r="H68" i="2"/>
  <c r="H100" i="2" s="1"/>
  <c r="X87" i="2"/>
  <c r="X88" i="2"/>
  <c r="J69" i="2"/>
  <c r="J68" i="2"/>
  <c r="J100" i="2" s="1"/>
  <c r="L68" i="2"/>
  <c r="L100" i="2" s="1"/>
  <c r="N68" i="2"/>
  <c r="N100" i="2" s="1"/>
  <c r="P68" i="2"/>
  <c r="P100" i="2" s="1"/>
  <c r="Q69" i="2"/>
  <c r="Q68" i="2"/>
  <c r="Q100" i="2" s="1"/>
  <c r="R69" i="2"/>
  <c r="R68" i="2"/>
  <c r="R100" i="2" s="1"/>
  <c r="S68" i="2"/>
  <c r="S100" i="2" s="1"/>
  <c r="H388" i="11"/>
  <c r="E388" i="11"/>
  <c r="Y87" i="2"/>
  <c r="Y88" i="2"/>
  <c r="F68" i="2"/>
  <c r="F100" i="2" s="1"/>
  <c r="F69" i="2"/>
  <c r="W88" i="2"/>
  <c r="W87" i="2"/>
  <c r="K68" i="2"/>
  <c r="K100" i="2" s="1"/>
  <c r="K69" i="2"/>
  <c r="D55" i="2"/>
  <c r="D67" i="2" s="1"/>
  <c r="D93" i="6"/>
  <c r="E93" i="6" s="1"/>
  <c r="F93" i="6" s="1"/>
  <c r="G93" i="6" s="1"/>
  <c r="H93" i="6" s="1"/>
  <c r="I93" i="6" s="1"/>
  <c r="J93" i="6" s="1"/>
  <c r="K93" i="6" s="1"/>
  <c r="L93" i="6" s="1"/>
  <c r="M93" i="6" s="1"/>
  <c r="N93" i="6" s="1"/>
  <c r="O93" i="6" s="1"/>
  <c r="P93" i="6" s="1"/>
  <c r="Q93" i="6" s="1"/>
  <c r="R93" i="6" s="1"/>
  <c r="S93" i="6" s="1"/>
  <c r="T93" i="6" s="1"/>
  <c r="U93" i="6" s="1"/>
  <c r="V93" i="6" s="1"/>
  <c r="W93" i="6" s="1"/>
  <c r="X93" i="6" s="1"/>
  <c r="Y93" i="6" s="1"/>
  <c r="Z93" i="6" s="1"/>
  <c r="AA93" i="6" s="1"/>
  <c r="AB93" i="6" s="1"/>
  <c r="AC93" i="6" s="1"/>
  <c r="AD93" i="6" s="1"/>
  <c r="AE93" i="6" s="1"/>
  <c r="AF93" i="6" s="1"/>
  <c r="C94" i="6"/>
  <c r="AG93" i="6"/>
  <c r="D86" i="6"/>
  <c r="E86" i="6" s="1"/>
  <c r="F86" i="6" s="1"/>
  <c r="G86" i="6" s="1"/>
  <c r="H86" i="6" s="1"/>
  <c r="I86" i="6" s="1"/>
  <c r="J86" i="6" s="1"/>
  <c r="K86" i="6" s="1"/>
  <c r="L86" i="6" s="1"/>
  <c r="M86" i="6" s="1"/>
  <c r="N86" i="6" s="1"/>
  <c r="O86" i="6" s="1"/>
  <c r="P86" i="6" s="1"/>
  <c r="Q86" i="6" s="1"/>
  <c r="R86" i="6" s="1"/>
  <c r="S86" i="6" s="1"/>
  <c r="T86" i="6" s="1"/>
  <c r="U86" i="6" s="1"/>
  <c r="V86" i="6" s="1"/>
  <c r="W86" i="6" s="1"/>
  <c r="X86" i="6" s="1"/>
  <c r="Y86" i="6" s="1"/>
  <c r="Z86" i="6" s="1"/>
  <c r="AA86" i="6" s="1"/>
  <c r="AB86" i="6" s="1"/>
  <c r="AC86" i="6" s="1"/>
  <c r="AD86" i="6" s="1"/>
  <c r="AE86" i="6" s="1"/>
  <c r="AF86" i="6" s="1"/>
  <c r="K8" i="18"/>
  <c r="X68" i="2"/>
  <c r="X100" i="2" s="1"/>
  <c r="E68" i="2"/>
  <c r="E100" i="2" s="1"/>
  <c r="I68" i="2"/>
  <c r="I100" i="2" s="1"/>
  <c r="M68" i="2"/>
  <c r="M100" i="2" s="1"/>
  <c r="U68" i="2"/>
  <c r="U100" i="2" s="1"/>
  <c r="L387" i="11"/>
  <c r="G68" i="2"/>
  <c r="G100" i="2" s="1"/>
  <c r="G69" i="2"/>
  <c r="Y68" i="2"/>
  <c r="Y100" i="2" s="1"/>
  <c r="Y69" i="2"/>
  <c r="W68" i="2"/>
  <c r="W100" i="2" s="1"/>
  <c r="W69" i="2"/>
  <c r="O68" i="2"/>
  <c r="O100" i="2" s="1"/>
  <c r="AG55" i="2"/>
  <c r="C67" i="2"/>
  <c r="T68" i="2"/>
  <c r="T100" i="2" s="1"/>
  <c r="T69" i="2"/>
  <c r="V68" i="2"/>
  <c r="V100" i="2" s="1"/>
  <c r="D387" i="12"/>
  <c r="L386" i="12" s="1"/>
  <c r="L385" i="12"/>
  <c r="H6" i="11"/>
  <c r="D57" i="2" s="1"/>
  <c r="D85" i="2" s="1"/>
  <c r="G6" i="11"/>
  <c r="C56" i="2"/>
  <c r="AG56" i="2" s="1"/>
  <c r="E5" i="11"/>
  <c r="F5" i="11" s="1"/>
  <c r="C57" i="2" l="1"/>
  <c r="C85" i="2" s="1"/>
  <c r="E6" i="11"/>
  <c r="G7" i="11"/>
  <c r="V69" i="2"/>
  <c r="O69" i="2"/>
  <c r="U69" i="2"/>
  <c r="M69" i="2"/>
  <c r="I69" i="2"/>
  <c r="E69" i="2"/>
  <c r="X69" i="2"/>
  <c r="G94" i="6"/>
  <c r="K94" i="6"/>
  <c r="H94" i="6"/>
  <c r="AC94" i="6"/>
  <c r="Z94" i="6"/>
  <c r="J94" i="6"/>
  <c r="X94" i="6"/>
  <c r="S94" i="6"/>
  <c r="R94" i="6"/>
  <c r="I94" i="6"/>
  <c r="U94" i="6"/>
  <c r="AE94" i="6"/>
  <c r="W94" i="6"/>
  <c r="E94" i="6"/>
  <c r="O94" i="6"/>
  <c r="AD94" i="6"/>
  <c r="M94" i="6"/>
  <c r="AA94" i="6"/>
  <c r="Y94" i="6"/>
  <c r="AF94" i="6"/>
  <c r="D94" i="6"/>
  <c r="N94" i="6"/>
  <c r="L94" i="6"/>
  <c r="F94" i="6"/>
  <c r="Q94" i="6"/>
  <c r="AB94" i="6"/>
  <c r="T94" i="6"/>
  <c r="P94" i="6"/>
  <c r="V94" i="6"/>
  <c r="H7" i="11"/>
  <c r="K164" i="6"/>
  <c r="K222" i="6"/>
  <c r="K70" i="2"/>
  <c r="K81" i="2"/>
  <c r="K83" i="2" s="1"/>
  <c r="K73" i="2"/>
  <c r="K154" i="6"/>
  <c r="K190" i="6"/>
  <c r="K238" i="6"/>
  <c r="K208" i="6"/>
  <c r="K178" i="6"/>
  <c r="K158" i="6"/>
  <c r="K197" i="6"/>
  <c r="K204" i="6"/>
  <c r="K171" i="6"/>
  <c r="K229" i="6"/>
  <c r="K147" i="6"/>
  <c r="K138" i="6"/>
  <c r="K140" i="6" s="1"/>
  <c r="K215" i="6"/>
  <c r="F154" i="6"/>
  <c r="F229" i="6"/>
  <c r="F178" i="6"/>
  <c r="F208" i="6"/>
  <c r="F70" i="2"/>
  <c r="F147" i="6"/>
  <c r="F197" i="6"/>
  <c r="F215" i="6"/>
  <c r="F171" i="6"/>
  <c r="F204" i="6"/>
  <c r="F158" i="6"/>
  <c r="F164" i="6"/>
  <c r="F73" i="2"/>
  <c r="F138" i="6"/>
  <c r="F140" i="6" s="1"/>
  <c r="F222" i="6"/>
  <c r="F190" i="6"/>
  <c r="F81" i="2"/>
  <c r="F83" i="2" s="1"/>
  <c r="F238" i="6"/>
  <c r="I388" i="11"/>
  <c r="G388" i="11" s="1"/>
  <c r="D389" i="11" s="1"/>
  <c r="S69" i="2"/>
  <c r="P69" i="2"/>
  <c r="N69" i="2"/>
  <c r="L69" i="2"/>
  <c r="H69" i="2"/>
  <c r="AG96" i="6"/>
  <c r="D388" i="12"/>
  <c r="L387" i="12"/>
  <c r="T138" i="6"/>
  <c r="T140" i="6" s="1"/>
  <c r="T158" i="6"/>
  <c r="T197" i="6"/>
  <c r="T208" i="6"/>
  <c r="T204" i="6"/>
  <c r="T178" i="6"/>
  <c r="T70" i="2"/>
  <c r="T147" i="6"/>
  <c r="T73" i="2"/>
  <c r="T81" i="2"/>
  <c r="T83" i="2" s="1"/>
  <c r="T154" i="6"/>
  <c r="T164" i="6"/>
  <c r="T229" i="6"/>
  <c r="T215" i="6"/>
  <c r="T190" i="6"/>
  <c r="T222" i="6"/>
  <c r="T238" i="6"/>
  <c r="T171" i="6"/>
  <c r="C68" i="2"/>
  <c r="C100" i="2" s="1"/>
  <c r="W73" i="2"/>
  <c r="W70" i="2"/>
  <c r="W81" i="2"/>
  <c r="W83" i="2" s="1"/>
  <c r="Y70" i="2"/>
  <c r="Y81" i="2"/>
  <c r="Y83" i="2" s="1"/>
  <c r="Y73" i="2"/>
  <c r="G164" i="6"/>
  <c r="G229" i="6"/>
  <c r="G215" i="6"/>
  <c r="G70" i="2"/>
  <c r="G138" i="6"/>
  <c r="G140" i="6" s="1"/>
  <c r="G204" i="6"/>
  <c r="G171" i="6"/>
  <c r="G190" i="6"/>
  <c r="G147" i="6"/>
  <c r="G208" i="6"/>
  <c r="G222" i="6"/>
  <c r="G158" i="6"/>
  <c r="G238" i="6"/>
  <c r="G178" i="6"/>
  <c r="G154" i="6"/>
  <c r="G197" i="6"/>
  <c r="G81" i="2"/>
  <c r="G83" i="2" s="1"/>
  <c r="G73" i="2"/>
  <c r="AG94" i="6"/>
  <c r="B103" i="6" s="1"/>
  <c r="K4" i="18" s="1"/>
  <c r="D25" i="25" s="1"/>
  <c r="D68" i="2"/>
  <c r="D100" i="2" s="1"/>
  <c r="R190" i="6"/>
  <c r="R238" i="6"/>
  <c r="R154" i="6"/>
  <c r="R208" i="6"/>
  <c r="R178" i="6"/>
  <c r="R81" i="2"/>
  <c r="R83" i="2" s="1"/>
  <c r="R222" i="6"/>
  <c r="R70" i="2"/>
  <c r="R215" i="6"/>
  <c r="R138" i="6"/>
  <c r="R140" i="6" s="1"/>
  <c r="R204" i="6"/>
  <c r="R73" i="2"/>
  <c r="R197" i="6"/>
  <c r="R147" i="6"/>
  <c r="R164" i="6"/>
  <c r="R158" i="6"/>
  <c r="R171" i="6"/>
  <c r="R229" i="6"/>
  <c r="Q178" i="6"/>
  <c r="Q70" i="2"/>
  <c r="Q158" i="6"/>
  <c r="Q208" i="6"/>
  <c r="Q147" i="6"/>
  <c r="Q190" i="6"/>
  <c r="Q164" i="6"/>
  <c r="Q73" i="2"/>
  <c r="Q81" i="2"/>
  <c r="Q83" i="2" s="1"/>
  <c r="Q215" i="6"/>
  <c r="Q154" i="6"/>
  <c r="Q138" i="6"/>
  <c r="Q140" i="6" s="1"/>
  <c r="Q238" i="6"/>
  <c r="Q171" i="6"/>
  <c r="Q204" i="6"/>
  <c r="Q197" i="6"/>
  <c r="Q229" i="6"/>
  <c r="Q222" i="6"/>
  <c r="J147" i="6"/>
  <c r="J70" i="2"/>
  <c r="J178" i="6"/>
  <c r="J229" i="6"/>
  <c r="J204" i="6"/>
  <c r="J154" i="6"/>
  <c r="J190" i="6"/>
  <c r="J81" i="2"/>
  <c r="J83" i="2" s="1"/>
  <c r="J215" i="6"/>
  <c r="J222" i="6"/>
  <c r="J197" i="6"/>
  <c r="J238" i="6"/>
  <c r="J73" i="2"/>
  <c r="J171" i="6"/>
  <c r="J208" i="6"/>
  <c r="J164" i="6"/>
  <c r="J158" i="6"/>
  <c r="J138" i="6"/>
  <c r="J140" i="6" s="1"/>
  <c r="Q110" i="6" l="1"/>
  <c r="G112" i="6"/>
  <c r="Y92" i="2"/>
  <c r="Y95" i="2" s="1"/>
  <c r="Y84" i="2"/>
  <c r="W92" i="2"/>
  <c r="W95" i="2" s="1"/>
  <c r="W84" i="2"/>
  <c r="B106" i="2"/>
  <c r="T92" i="2"/>
  <c r="T95" i="2" s="1"/>
  <c r="T84" i="2"/>
  <c r="T87" i="2"/>
  <c r="R97" i="6"/>
  <c r="Q97" i="6"/>
  <c r="Z97" i="6"/>
  <c r="AB97" i="6"/>
  <c r="AE97" i="6"/>
  <c r="T97" i="6"/>
  <c r="Y97" i="6"/>
  <c r="M97" i="6"/>
  <c r="P97" i="6"/>
  <c r="U97" i="6"/>
  <c r="N97" i="6"/>
  <c r="AC97" i="6"/>
  <c r="AF97" i="6"/>
  <c r="J97" i="6"/>
  <c r="O97" i="6"/>
  <c r="X97" i="6"/>
  <c r="F97" i="6"/>
  <c r="K97" i="6"/>
  <c r="V97" i="6"/>
  <c r="AA97" i="6"/>
  <c r="S97" i="6"/>
  <c r="L97" i="6"/>
  <c r="D97" i="6"/>
  <c r="E97" i="6"/>
  <c r="G97" i="6"/>
  <c r="I97" i="6"/>
  <c r="W97" i="6"/>
  <c r="AD97" i="6"/>
  <c r="H97" i="6"/>
  <c r="L154" i="6"/>
  <c r="L81" i="2"/>
  <c r="L83" i="2" s="1"/>
  <c r="L222" i="6"/>
  <c r="L238" i="6"/>
  <c r="L70" i="2"/>
  <c r="L138" i="6"/>
  <c r="L140" i="6" s="1"/>
  <c r="L197" i="6"/>
  <c r="L229" i="6"/>
  <c r="L158" i="6"/>
  <c r="L73" i="2"/>
  <c r="L147" i="6"/>
  <c r="L164" i="6"/>
  <c r="L171" i="6"/>
  <c r="L204" i="6"/>
  <c r="L208" i="6"/>
  <c r="L215" i="6"/>
  <c r="L178" i="6"/>
  <c r="L190" i="6"/>
  <c r="P164" i="6"/>
  <c r="P238" i="6"/>
  <c r="P147" i="6"/>
  <c r="P229" i="6"/>
  <c r="P178" i="6"/>
  <c r="P81" i="2"/>
  <c r="P83" i="2" s="1"/>
  <c r="P222" i="6"/>
  <c r="P171" i="6"/>
  <c r="P73" i="2"/>
  <c r="P138" i="6"/>
  <c r="P140" i="6" s="1"/>
  <c r="P158" i="6"/>
  <c r="P70" i="2"/>
  <c r="P190" i="6"/>
  <c r="P197" i="6"/>
  <c r="P215" i="6"/>
  <c r="P204" i="6"/>
  <c r="P154" i="6"/>
  <c r="P208" i="6"/>
  <c r="J388" i="11"/>
  <c r="F92" i="2"/>
  <c r="F95" i="2" s="1"/>
  <c r="F84" i="2"/>
  <c r="F87" i="2"/>
  <c r="F112" i="6"/>
  <c r="K112" i="6"/>
  <c r="K110" i="6"/>
  <c r="X70" i="2"/>
  <c r="X81" i="2"/>
  <c r="X83" i="2" s="1"/>
  <c r="X73" i="2"/>
  <c r="I178" i="6"/>
  <c r="I81" i="2"/>
  <c r="I83" i="2" s="1"/>
  <c r="I73" i="2"/>
  <c r="I147" i="6"/>
  <c r="I229" i="6"/>
  <c r="I238" i="6"/>
  <c r="I138" i="6"/>
  <c r="I140" i="6" s="1"/>
  <c r="I222" i="6"/>
  <c r="I158" i="6"/>
  <c r="I204" i="6"/>
  <c r="I154" i="6"/>
  <c r="I197" i="6"/>
  <c r="I70" i="2"/>
  <c r="I215" i="6"/>
  <c r="I171" i="6"/>
  <c r="I164" i="6"/>
  <c r="I208" i="6"/>
  <c r="I190" i="6"/>
  <c r="U197" i="6"/>
  <c r="U215" i="6"/>
  <c r="U147" i="6"/>
  <c r="U222" i="6"/>
  <c r="U178" i="6"/>
  <c r="U229" i="6"/>
  <c r="U154" i="6"/>
  <c r="U73" i="2"/>
  <c r="U171" i="6"/>
  <c r="U238" i="6"/>
  <c r="U70" i="2"/>
  <c r="U164" i="6"/>
  <c r="U158" i="6"/>
  <c r="U81" i="2"/>
  <c r="U83" i="2" s="1"/>
  <c r="U138" i="6"/>
  <c r="U140" i="6" s="1"/>
  <c r="U208" i="6"/>
  <c r="U204" i="6"/>
  <c r="U190" i="6"/>
  <c r="V238" i="6"/>
  <c r="V215" i="6"/>
  <c r="V229" i="6"/>
  <c r="V222" i="6"/>
  <c r="V73" i="2"/>
  <c r="V204" i="6"/>
  <c r="V197" i="6"/>
  <c r="V178" i="6"/>
  <c r="V138" i="6"/>
  <c r="V140" i="6" s="1"/>
  <c r="V154" i="6"/>
  <c r="V81" i="2"/>
  <c r="V83" i="2" s="1"/>
  <c r="V158" i="6"/>
  <c r="V208" i="6"/>
  <c r="V171" i="6"/>
  <c r="V164" i="6"/>
  <c r="V190" i="6"/>
  <c r="V147" i="6"/>
  <c r="V70" i="2"/>
  <c r="Q112" i="6"/>
  <c r="R112" i="6"/>
  <c r="J112" i="6"/>
  <c r="J92" i="2"/>
  <c r="J95" i="2" s="1"/>
  <c r="J84" i="2"/>
  <c r="J87" i="2"/>
  <c r="J110" i="6"/>
  <c r="Q84" i="2"/>
  <c r="Q92" i="2"/>
  <c r="Q95" i="2" s="1"/>
  <c r="Q87" i="2"/>
  <c r="R110" i="6"/>
  <c r="R92" i="2"/>
  <c r="R95" i="2" s="1"/>
  <c r="R84" i="2"/>
  <c r="R87" i="2"/>
  <c r="D69" i="2"/>
  <c r="G84" i="2"/>
  <c r="G92" i="2"/>
  <c r="G95" i="2" s="1"/>
  <c r="G87" i="2"/>
  <c r="G110" i="6"/>
  <c r="C69" i="2"/>
  <c r="T112" i="6"/>
  <c r="T110" i="6"/>
  <c r="H388" i="12"/>
  <c r="E388" i="12"/>
  <c r="H164" i="6"/>
  <c r="H73" i="2"/>
  <c r="H204" i="6"/>
  <c r="H178" i="6"/>
  <c r="H190" i="6"/>
  <c r="H171" i="6"/>
  <c r="H70" i="2"/>
  <c r="H81" i="2"/>
  <c r="H83" i="2" s="1"/>
  <c r="H138" i="6"/>
  <c r="H140" i="6" s="1"/>
  <c r="H208" i="6"/>
  <c r="H158" i="6"/>
  <c r="H154" i="6"/>
  <c r="H197" i="6"/>
  <c r="H215" i="6"/>
  <c r="H229" i="6"/>
  <c r="H238" i="6"/>
  <c r="H147" i="6"/>
  <c r="H222" i="6"/>
  <c r="N178" i="6"/>
  <c r="N215" i="6"/>
  <c r="N158" i="6"/>
  <c r="N238" i="6"/>
  <c r="N154" i="6"/>
  <c r="N222" i="6"/>
  <c r="N147" i="6"/>
  <c r="N208" i="6"/>
  <c r="N171" i="6"/>
  <c r="N204" i="6"/>
  <c r="N197" i="6"/>
  <c r="N164" i="6"/>
  <c r="N81" i="2"/>
  <c r="N83" i="2" s="1"/>
  <c r="N229" i="6"/>
  <c r="N190" i="6"/>
  <c r="N70" i="2"/>
  <c r="N73" i="2"/>
  <c r="N138" i="6"/>
  <c r="N140" i="6" s="1"/>
  <c r="S147" i="6"/>
  <c r="S204" i="6"/>
  <c r="S70" i="2"/>
  <c r="S190" i="6"/>
  <c r="S197" i="6"/>
  <c r="S238" i="6"/>
  <c r="S178" i="6"/>
  <c r="S208" i="6"/>
  <c r="S164" i="6"/>
  <c r="S138" i="6"/>
  <c r="S140" i="6" s="1"/>
  <c r="S229" i="6"/>
  <c r="S222" i="6"/>
  <c r="S81" i="2"/>
  <c r="S83" i="2" s="1"/>
  <c r="S215" i="6"/>
  <c r="S171" i="6"/>
  <c r="S154" i="6"/>
  <c r="S158" i="6"/>
  <c r="S73" i="2"/>
  <c r="D390" i="11"/>
  <c r="L388" i="11"/>
  <c r="F110" i="6"/>
  <c r="K92" i="2"/>
  <c r="K95" i="2" s="1"/>
  <c r="K84" i="2"/>
  <c r="K87" i="2"/>
  <c r="E222" i="6"/>
  <c r="E238" i="6"/>
  <c r="E138" i="6"/>
  <c r="E140" i="6" s="1"/>
  <c r="E190" i="6"/>
  <c r="E208" i="6"/>
  <c r="E204" i="6"/>
  <c r="E73" i="2"/>
  <c r="E81" i="2"/>
  <c r="E83" i="2" s="1"/>
  <c r="E171" i="6"/>
  <c r="E178" i="6"/>
  <c r="E229" i="6"/>
  <c r="E70" i="2"/>
  <c r="E164" i="6"/>
  <c r="E154" i="6"/>
  <c r="E197" i="6"/>
  <c r="E147" i="6"/>
  <c r="E215" i="6"/>
  <c r="E158" i="6"/>
  <c r="M154" i="6"/>
  <c r="M147" i="6"/>
  <c r="M229" i="6"/>
  <c r="M158" i="6"/>
  <c r="M73" i="2"/>
  <c r="M178" i="6"/>
  <c r="M190" i="6"/>
  <c r="M171" i="6"/>
  <c r="M222" i="6"/>
  <c r="M138" i="6"/>
  <c r="M140" i="6" s="1"/>
  <c r="M238" i="6"/>
  <c r="M208" i="6"/>
  <c r="M215" i="6"/>
  <c r="M164" i="6"/>
  <c r="M204" i="6"/>
  <c r="M197" i="6"/>
  <c r="M70" i="2"/>
  <c r="M81" i="2"/>
  <c r="M83" i="2" s="1"/>
  <c r="O178" i="6"/>
  <c r="O204" i="6"/>
  <c r="O164" i="6"/>
  <c r="O73" i="2"/>
  <c r="O208" i="6"/>
  <c r="O238" i="6"/>
  <c r="O138" i="6"/>
  <c r="O140" i="6" s="1"/>
  <c r="O158" i="6"/>
  <c r="O215" i="6"/>
  <c r="O154" i="6"/>
  <c r="O70" i="2"/>
  <c r="O190" i="6"/>
  <c r="O197" i="6"/>
  <c r="O147" i="6"/>
  <c r="O81" i="2"/>
  <c r="O83" i="2" s="1"/>
  <c r="O222" i="6"/>
  <c r="O171" i="6"/>
  <c r="O229" i="6"/>
  <c r="AG85" i="2"/>
  <c r="O110" i="6" l="1"/>
  <c r="D391" i="11"/>
  <c r="L390" i="11"/>
  <c r="N110" i="6"/>
  <c r="H84" i="2"/>
  <c r="H92" i="2"/>
  <c r="H95" i="2" s="1"/>
  <c r="H87" i="2"/>
  <c r="H112" i="6"/>
  <c r="J388" i="12"/>
  <c r="I388" i="12"/>
  <c r="G388" i="12" s="1"/>
  <c r="D389" i="12" s="1"/>
  <c r="C154" i="6"/>
  <c r="C155" i="6" s="1"/>
  <c r="C238" i="6"/>
  <c r="C138" i="6"/>
  <c r="C222" i="6"/>
  <c r="C223" i="6" s="1"/>
  <c r="C158" i="6"/>
  <c r="C159" i="6" s="1"/>
  <c r="C190" i="6"/>
  <c r="C191" i="6" s="1"/>
  <c r="C178" i="6"/>
  <c r="C179" i="6" s="1"/>
  <c r="C70" i="2"/>
  <c r="C204" i="6"/>
  <c r="C205" i="6" s="1"/>
  <c r="C147" i="6"/>
  <c r="C148" i="6" s="1"/>
  <c r="C81" i="2"/>
  <c r="C83" i="2" s="1"/>
  <c r="C197" i="6"/>
  <c r="C198" i="6" s="1"/>
  <c r="C229" i="6"/>
  <c r="C230" i="6" s="1"/>
  <c r="C164" i="6"/>
  <c r="C165" i="6" s="1"/>
  <c r="C241" i="6"/>
  <c r="C73" i="2"/>
  <c r="C171" i="6"/>
  <c r="C172" i="6" s="1"/>
  <c r="C215" i="6"/>
  <c r="C216" i="6" s="1"/>
  <c r="C208" i="6"/>
  <c r="C209" i="6" s="1"/>
  <c r="G244" i="6"/>
  <c r="G88" i="2"/>
  <c r="R244" i="6"/>
  <c r="R88" i="2"/>
  <c r="J244" i="6"/>
  <c r="J88" i="2"/>
  <c r="V92" i="2"/>
  <c r="V95" i="2" s="1"/>
  <c r="V84" i="2"/>
  <c r="V87" i="2"/>
  <c r="V112" i="6"/>
  <c r="U110" i="6"/>
  <c r="I92" i="2"/>
  <c r="I95" i="2" s="1"/>
  <c r="I84" i="2"/>
  <c r="I87" i="2"/>
  <c r="P92" i="2"/>
  <c r="P95" i="2" s="1"/>
  <c r="P84" i="2"/>
  <c r="P87" i="2"/>
  <c r="L110" i="6"/>
  <c r="AG97" i="6"/>
  <c r="B104" i="6" s="1"/>
  <c r="K5" i="18" s="1"/>
  <c r="D26" i="25" s="1"/>
  <c r="J7" i="18"/>
  <c r="C28" i="25" s="1"/>
  <c r="B106" i="6"/>
  <c r="K7" i="18" s="1"/>
  <c r="D28" i="25" s="1"/>
  <c r="M92" i="2"/>
  <c r="M95" i="2" s="1"/>
  <c r="M84" i="2"/>
  <c r="M87" i="2"/>
  <c r="E112" i="6"/>
  <c r="O92" i="2"/>
  <c r="O95" i="2" s="1"/>
  <c r="O84" i="2"/>
  <c r="O87" i="2"/>
  <c r="O112" i="6"/>
  <c r="M110" i="6"/>
  <c r="M112" i="6"/>
  <c r="E110" i="6"/>
  <c r="E92" i="2"/>
  <c r="E95" i="2" s="1"/>
  <c r="E84" i="2"/>
  <c r="E87" i="2"/>
  <c r="K244" i="6"/>
  <c r="K88" i="2"/>
  <c r="L389" i="11"/>
  <c r="S112" i="6"/>
  <c r="S84" i="2"/>
  <c r="S92" i="2"/>
  <c r="S95" i="2" s="1"/>
  <c r="S87" i="2"/>
  <c r="S110" i="6"/>
  <c r="N112" i="6"/>
  <c r="N84" i="2"/>
  <c r="N92" i="2"/>
  <c r="N95" i="2" s="1"/>
  <c r="N87" i="2"/>
  <c r="H110" i="6"/>
  <c r="D158" i="6"/>
  <c r="D190" i="6"/>
  <c r="D70" i="2"/>
  <c r="D238" i="6"/>
  <c r="D204" i="6"/>
  <c r="D147" i="6"/>
  <c r="D154" i="6"/>
  <c r="D73" i="2"/>
  <c r="D241" i="6"/>
  <c r="E241" i="6" s="1"/>
  <c r="F241" i="6" s="1"/>
  <c r="G241" i="6" s="1"/>
  <c r="H241" i="6" s="1"/>
  <c r="I241" i="6" s="1"/>
  <c r="J241" i="6" s="1"/>
  <c r="K241" i="6" s="1"/>
  <c r="L241" i="6" s="1"/>
  <c r="M241" i="6" s="1"/>
  <c r="N241" i="6" s="1"/>
  <c r="O241" i="6" s="1"/>
  <c r="P241" i="6" s="1"/>
  <c r="Q241" i="6" s="1"/>
  <c r="R241" i="6" s="1"/>
  <c r="S241" i="6" s="1"/>
  <c r="T241" i="6" s="1"/>
  <c r="U241" i="6" s="1"/>
  <c r="V241" i="6" s="1"/>
  <c r="D138" i="6"/>
  <c r="D140" i="6" s="1"/>
  <c r="D81" i="2"/>
  <c r="D83" i="2" s="1"/>
  <c r="D215" i="6"/>
  <c r="D208" i="6"/>
  <c r="D164" i="6"/>
  <c r="D222" i="6"/>
  <c r="D171" i="6"/>
  <c r="D178" i="6"/>
  <c r="D229" i="6"/>
  <c r="D197" i="6"/>
  <c r="Q244" i="6"/>
  <c r="Q88" i="2"/>
  <c r="V110" i="6"/>
  <c r="U92" i="2"/>
  <c r="U95" i="2" s="1"/>
  <c r="U84" i="2"/>
  <c r="U87" i="2"/>
  <c r="U112" i="6"/>
  <c r="I110" i="6"/>
  <c r="I112" i="6"/>
  <c r="X84" i="2"/>
  <c r="X92" i="2"/>
  <c r="X95" i="2" s="1"/>
  <c r="F244" i="6"/>
  <c r="F88" i="2"/>
  <c r="P110" i="6"/>
  <c r="P112" i="6"/>
  <c r="L112" i="6"/>
  <c r="L84" i="2"/>
  <c r="L92" i="2"/>
  <c r="L95" i="2" s="1"/>
  <c r="L87" i="2"/>
  <c r="T244" i="6"/>
  <c r="T88" i="2"/>
  <c r="L244" i="6" l="1"/>
  <c r="L88" i="2"/>
  <c r="D84" i="2"/>
  <c r="D92" i="2"/>
  <c r="D95" i="2" s="1"/>
  <c r="D87" i="2"/>
  <c r="D110" i="6"/>
  <c r="S244" i="6"/>
  <c r="S88" i="2"/>
  <c r="E244" i="6"/>
  <c r="E88" i="2"/>
  <c r="M244" i="6"/>
  <c r="M88" i="2"/>
  <c r="P244" i="6"/>
  <c r="P88" i="2"/>
  <c r="V244" i="6"/>
  <c r="V88" i="2"/>
  <c r="D216" i="6"/>
  <c r="E216" i="6" s="1"/>
  <c r="F216" i="6" s="1"/>
  <c r="G216" i="6" s="1"/>
  <c r="H216" i="6" s="1"/>
  <c r="I216" i="6" s="1"/>
  <c r="J216" i="6" s="1"/>
  <c r="K216" i="6" s="1"/>
  <c r="L216" i="6" s="1"/>
  <c r="C74" i="2"/>
  <c r="C113" i="6" s="1"/>
  <c r="C112" i="6"/>
  <c r="D165" i="6"/>
  <c r="E165" i="6" s="1"/>
  <c r="F165" i="6" s="1"/>
  <c r="G165" i="6" s="1"/>
  <c r="H165" i="6" s="1"/>
  <c r="I165" i="6" s="1"/>
  <c r="J165" i="6" s="1"/>
  <c r="K165" i="6" s="1"/>
  <c r="L165" i="6" s="1"/>
  <c r="D198" i="6"/>
  <c r="E198" i="6" s="1"/>
  <c r="F198" i="6" s="1"/>
  <c r="G198" i="6" s="1"/>
  <c r="H198" i="6" s="1"/>
  <c r="I198" i="6" s="1"/>
  <c r="J198" i="6" s="1"/>
  <c r="K198" i="6" s="1"/>
  <c r="L198" i="6" s="1"/>
  <c r="D148" i="6"/>
  <c r="E148" i="6" s="1"/>
  <c r="F148" i="6" s="1"/>
  <c r="G148" i="6" s="1"/>
  <c r="H148" i="6" s="1"/>
  <c r="I148" i="6" s="1"/>
  <c r="J148" i="6" s="1"/>
  <c r="K148" i="6" s="1"/>
  <c r="L148" i="6" s="1"/>
  <c r="C110" i="6"/>
  <c r="C71" i="2"/>
  <c r="C111" i="6" s="1"/>
  <c r="D191" i="6"/>
  <c r="E191" i="6" s="1"/>
  <c r="F191" i="6" s="1"/>
  <c r="G191" i="6" s="1"/>
  <c r="H191" i="6" s="1"/>
  <c r="I191" i="6" s="1"/>
  <c r="J191" i="6" s="1"/>
  <c r="K191" i="6" s="1"/>
  <c r="L191" i="6" s="1"/>
  <c r="D223" i="6"/>
  <c r="E223" i="6" s="1"/>
  <c r="F223" i="6" s="1"/>
  <c r="G223" i="6" s="1"/>
  <c r="H223" i="6" s="1"/>
  <c r="I223" i="6" s="1"/>
  <c r="J223" i="6" s="1"/>
  <c r="K223" i="6" s="1"/>
  <c r="L223" i="6" s="1"/>
  <c r="U244" i="6"/>
  <c r="U88" i="2"/>
  <c r="D112" i="6"/>
  <c r="D74" i="2"/>
  <c r="N244" i="6"/>
  <c r="N88" i="2"/>
  <c r="O244" i="6"/>
  <c r="O88" i="2"/>
  <c r="I244" i="6"/>
  <c r="I88" i="2"/>
  <c r="D209" i="6"/>
  <c r="E209" i="6" s="1"/>
  <c r="F209" i="6" s="1"/>
  <c r="G209" i="6" s="1"/>
  <c r="H209" i="6" s="1"/>
  <c r="I209" i="6" s="1"/>
  <c r="J209" i="6" s="1"/>
  <c r="K209" i="6" s="1"/>
  <c r="L209" i="6" s="1"/>
  <c r="D172" i="6"/>
  <c r="E172" i="6" s="1"/>
  <c r="F172" i="6" s="1"/>
  <c r="G172" i="6" s="1"/>
  <c r="H172" i="6" s="1"/>
  <c r="I172" i="6" s="1"/>
  <c r="J172" i="6" s="1"/>
  <c r="K172" i="6" s="1"/>
  <c r="L172" i="6" s="1"/>
  <c r="D230" i="6"/>
  <c r="E230" i="6" s="1"/>
  <c r="F230" i="6" s="1"/>
  <c r="G230" i="6" s="1"/>
  <c r="H230" i="6" s="1"/>
  <c r="I230" i="6" s="1"/>
  <c r="J230" i="6" s="1"/>
  <c r="K230" i="6" s="1"/>
  <c r="L230" i="6" s="1"/>
  <c r="C92" i="2"/>
  <c r="AG83" i="2"/>
  <c r="C84" i="2"/>
  <c r="C87" i="2"/>
  <c r="D205" i="6"/>
  <c r="E205" i="6" s="1"/>
  <c r="F205" i="6" s="1"/>
  <c r="G205" i="6" s="1"/>
  <c r="H205" i="6" s="1"/>
  <c r="I205" i="6" s="1"/>
  <c r="J205" i="6" s="1"/>
  <c r="K205" i="6" s="1"/>
  <c r="L205" i="6" s="1"/>
  <c r="D179" i="6"/>
  <c r="E179" i="6" s="1"/>
  <c r="F179" i="6" s="1"/>
  <c r="G179" i="6" s="1"/>
  <c r="H179" i="6" s="1"/>
  <c r="I179" i="6" s="1"/>
  <c r="J179" i="6" s="1"/>
  <c r="K179" i="6" s="1"/>
  <c r="L179" i="6" s="1"/>
  <c r="D159" i="6"/>
  <c r="E159" i="6" s="1"/>
  <c r="F159" i="6" s="1"/>
  <c r="G159" i="6" s="1"/>
  <c r="H159" i="6" s="1"/>
  <c r="I159" i="6" s="1"/>
  <c r="J159" i="6" s="1"/>
  <c r="K159" i="6" s="1"/>
  <c r="L159" i="6" s="1"/>
  <c r="C140" i="6"/>
  <c r="C141" i="6"/>
  <c r="D141" i="6" s="1"/>
  <c r="E141" i="6" s="1"/>
  <c r="F141" i="6" s="1"/>
  <c r="G141" i="6" s="1"/>
  <c r="H141" i="6" s="1"/>
  <c r="I141" i="6" s="1"/>
  <c r="J141" i="6" s="1"/>
  <c r="K141" i="6" s="1"/>
  <c r="L141" i="6" s="1"/>
  <c r="D155" i="6"/>
  <c r="E155" i="6" s="1"/>
  <c r="F155" i="6" s="1"/>
  <c r="G155" i="6" s="1"/>
  <c r="H155" i="6" s="1"/>
  <c r="I155" i="6" s="1"/>
  <c r="J155" i="6" s="1"/>
  <c r="K155" i="6" s="1"/>
  <c r="L155" i="6" s="1"/>
  <c r="D390" i="12"/>
  <c r="L388" i="12"/>
  <c r="H244" i="6"/>
  <c r="H88" i="2"/>
  <c r="H391" i="11"/>
  <c r="E391" i="11"/>
  <c r="I391" i="11" l="1"/>
  <c r="G391" i="11" s="1"/>
  <c r="D392" i="11" s="1"/>
  <c r="D391" i="12"/>
  <c r="L390" i="12"/>
  <c r="M159" i="6"/>
  <c r="N159" i="6" s="1"/>
  <c r="O159" i="6" s="1"/>
  <c r="P159" i="6" s="1"/>
  <c r="Q159" i="6" s="1"/>
  <c r="R159" i="6" s="1"/>
  <c r="S159" i="6" s="1"/>
  <c r="T159" i="6" s="1"/>
  <c r="U159" i="6" s="1"/>
  <c r="V159" i="6" s="1"/>
  <c r="L389" i="12"/>
  <c r="D156" i="6"/>
  <c r="D183" i="6" s="1"/>
  <c r="M155" i="6"/>
  <c r="N155" i="6" s="1"/>
  <c r="O155" i="6" s="1"/>
  <c r="P155" i="6" s="1"/>
  <c r="Q155" i="6" s="1"/>
  <c r="R155" i="6" s="1"/>
  <c r="S155" i="6" s="1"/>
  <c r="T155" i="6" s="1"/>
  <c r="U155" i="6" s="1"/>
  <c r="V155" i="6" s="1"/>
  <c r="M179" i="6"/>
  <c r="N179" i="6" s="1"/>
  <c r="O179" i="6" s="1"/>
  <c r="P179" i="6" s="1"/>
  <c r="Q179" i="6" s="1"/>
  <c r="R179" i="6" s="1"/>
  <c r="S179" i="6" s="1"/>
  <c r="T179" i="6" s="1"/>
  <c r="U179" i="6" s="1"/>
  <c r="V179" i="6" s="1"/>
  <c r="C180" i="6"/>
  <c r="C244" i="6"/>
  <c r="C88" i="2"/>
  <c r="M230" i="6"/>
  <c r="N230" i="6" s="1"/>
  <c r="O230" i="6" s="1"/>
  <c r="P230" i="6" s="1"/>
  <c r="Q230" i="6" s="1"/>
  <c r="R230" i="6" s="1"/>
  <c r="S230" i="6" s="1"/>
  <c r="T230" i="6" s="1"/>
  <c r="U230" i="6" s="1"/>
  <c r="V230" i="6" s="1"/>
  <c r="C231" i="6"/>
  <c r="D231" i="6"/>
  <c r="H234" i="6" s="1"/>
  <c r="M209" i="6"/>
  <c r="N209" i="6" s="1"/>
  <c r="O209" i="6" s="1"/>
  <c r="P209" i="6" s="1"/>
  <c r="Q209" i="6" s="1"/>
  <c r="R209" i="6" s="1"/>
  <c r="S209" i="6" s="1"/>
  <c r="T209" i="6" s="1"/>
  <c r="U209" i="6" s="1"/>
  <c r="V209" i="6" s="1"/>
  <c r="C210" i="6"/>
  <c r="M191" i="6"/>
  <c r="N191" i="6" s="1"/>
  <c r="O191" i="6" s="1"/>
  <c r="P191" i="6" s="1"/>
  <c r="Q191" i="6" s="1"/>
  <c r="R191" i="6" s="1"/>
  <c r="S191" i="6" s="1"/>
  <c r="T191" i="6" s="1"/>
  <c r="U191" i="6" s="1"/>
  <c r="V191" i="6" s="1"/>
  <c r="C192" i="6"/>
  <c r="D192" i="6"/>
  <c r="B234" i="6" s="1"/>
  <c r="D199" i="6"/>
  <c r="C234" i="6" s="1"/>
  <c r="M198" i="6"/>
  <c r="N198" i="6" s="1"/>
  <c r="O198" i="6" s="1"/>
  <c r="P198" i="6" s="1"/>
  <c r="Q198" i="6" s="1"/>
  <c r="R198" i="6" s="1"/>
  <c r="S198" i="6" s="1"/>
  <c r="T198" i="6" s="1"/>
  <c r="U198" i="6" s="1"/>
  <c r="V198" i="6" s="1"/>
  <c r="C199" i="6"/>
  <c r="C217" i="6"/>
  <c r="M216" i="6"/>
  <c r="N216" i="6" s="1"/>
  <c r="O216" i="6" s="1"/>
  <c r="P216" i="6" s="1"/>
  <c r="Q216" i="6" s="1"/>
  <c r="R216" i="6" s="1"/>
  <c r="S216" i="6" s="1"/>
  <c r="T216" i="6" s="1"/>
  <c r="U216" i="6" s="1"/>
  <c r="V216" i="6" s="1"/>
  <c r="D71" i="2"/>
  <c r="M141" i="6"/>
  <c r="N141" i="6" s="1"/>
  <c r="O141" i="6" s="1"/>
  <c r="P141" i="6" s="1"/>
  <c r="Q141" i="6" s="1"/>
  <c r="R141" i="6" s="1"/>
  <c r="S141" i="6" s="1"/>
  <c r="T141" i="6" s="1"/>
  <c r="U141" i="6" s="1"/>
  <c r="V141" i="6" s="1"/>
  <c r="C142" i="6"/>
  <c r="D142" i="6"/>
  <c r="B183" i="6" s="1"/>
  <c r="C206" i="6"/>
  <c r="M205" i="6"/>
  <c r="N205" i="6" s="1"/>
  <c r="O205" i="6" s="1"/>
  <c r="P205" i="6" s="1"/>
  <c r="Q205" i="6" s="1"/>
  <c r="R205" i="6" s="1"/>
  <c r="S205" i="6" s="1"/>
  <c r="T205" i="6" s="1"/>
  <c r="U205" i="6" s="1"/>
  <c r="V205" i="6" s="1"/>
  <c r="D206" i="6"/>
  <c r="D234" i="6" s="1"/>
  <c r="C86" i="2"/>
  <c r="D89" i="2"/>
  <c r="F89" i="2"/>
  <c r="H89" i="2"/>
  <c r="J89" i="2"/>
  <c r="L89" i="2"/>
  <c r="N89" i="2"/>
  <c r="P89" i="2"/>
  <c r="R89" i="2"/>
  <c r="T89" i="2"/>
  <c r="Y89" i="2"/>
  <c r="AA89" i="2"/>
  <c r="B105" i="2" s="1"/>
  <c r="J6" i="18" s="1"/>
  <c r="C27" i="25" s="1"/>
  <c r="AE89" i="2"/>
  <c r="Z89" i="2"/>
  <c r="AC89" i="2"/>
  <c r="AG84" i="2"/>
  <c r="C89" i="2"/>
  <c r="G89" i="2"/>
  <c r="K89" i="2"/>
  <c r="O89" i="2"/>
  <c r="S89" i="2"/>
  <c r="AB89" i="2"/>
  <c r="W89" i="2"/>
  <c r="AF89" i="2"/>
  <c r="E89" i="2"/>
  <c r="I89" i="2"/>
  <c r="M89" i="2"/>
  <c r="Q89" i="2"/>
  <c r="U89" i="2"/>
  <c r="AD89" i="2"/>
  <c r="X89" i="2"/>
  <c r="V89" i="2"/>
  <c r="AG92" i="2"/>
  <c r="C95" i="2"/>
  <c r="C96" i="2" s="1"/>
  <c r="C93" i="2"/>
  <c r="M172" i="6"/>
  <c r="N172" i="6" s="1"/>
  <c r="O172" i="6" s="1"/>
  <c r="P172" i="6" s="1"/>
  <c r="Q172" i="6" s="1"/>
  <c r="R172" i="6" s="1"/>
  <c r="S172" i="6" s="1"/>
  <c r="T172" i="6" s="1"/>
  <c r="U172" i="6" s="1"/>
  <c r="V172" i="6" s="1"/>
  <c r="D173" i="6"/>
  <c r="G183" i="6" s="1"/>
  <c r="D113" i="6"/>
  <c r="E74" i="2"/>
  <c r="M223" i="6"/>
  <c r="N223" i="6" s="1"/>
  <c r="O223" i="6" s="1"/>
  <c r="P223" i="6" s="1"/>
  <c r="Q223" i="6" s="1"/>
  <c r="R223" i="6" s="1"/>
  <c r="S223" i="6" s="1"/>
  <c r="T223" i="6" s="1"/>
  <c r="U223" i="6" s="1"/>
  <c r="V223" i="6" s="1"/>
  <c r="D224" i="6"/>
  <c r="G234" i="6" s="1"/>
  <c r="C224" i="6"/>
  <c r="M148" i="6"/>
  <c r="N148" i="6" s="1"/>
  <c r="O148" i="6" s="1"/>
  <c r="P148" i="6" s="1"/>
  <c r="Q148" i="6" s="1"/>
  <c r="R148" i="6" s="1"/>
  <c r="S148" i="6" s="1"/>
  <c r="T148" i="6" s="1"/>
  <c r="U148" i="6" s="1"/>
  <c r="V148" i="6" s="1"/>
  <c r="C149" i="6"/>
  <c r="D149" i="6"/>
  <c r="C183" i="6" s="1"/>
  <c r="M165" i="6"/>
  <c r="N165" i="6" s="1"/>
  <c r="O165" i="6" s="1"/>
  <c r="P165" i="6" s="1"/>
  <c r="Q165" i="6" s="1"/>
  <c r="R165" i="6" s="1"/>
  <c r="S165" i="6" s="1"/>
  <c r="T165" i="6" s="1"/>
  <c r="U165" i="6" s="1"/>
  <c r="V165" i="6" s="1"/>
  <c r="D244" i="6"/>
  <c r="D88" i="2"/>
  <c r="D166" i="6" l="1"/>
  <c r="F183" i="6" s="1"/>
  <c r="E113" i="6"/>
  <c r="F74" i="2"/>
  <c r="C97" i="2"/>
  <c r="D96" i="2"/>
  <c r="E96" i="2" s="1"/>
  <c r="F96" i="2" s="1"/>
  <c r="G96" i="2" s="1"/>
  <c r="H96" i="2" s="1"/>
  <c r="I96" i="2" s="1"/>
  <c r="J96" i="2" s="1"/>
  <c r="K96" i="2" s="1"/>
  <c r="L96" i="2" s="1"/>
  <c r="M96" i="2" s="1"/>
  <c r="N96" i="2" s="1"/>
  <c r="O96" i="2" s="1"/>
  <c r="P96" i="2" s="1"/>
  <c r="Q96" i="2" s="1"/>
  <c r="R96" i="2" s="1"/>
  <c r="S96" i="2" s="1"/>
  <c r="T96" i="2" s="1"/>
  <c r="U96" i="2" s="1"/>
  <c r="V96" i="2" s="1"/>
  <c r="W96" i="2" s="1"/>
  <c r="X96" i="2" s="1"/>
  <c r="Y96" i="2" s="1"/>
  <c r="Z96" i="2" s="1"/>
  <c r="AA96" i="2" s="1"/>
  <c r="AB96" i="2" s="1"/>
  <c r="AC96" i="2" s="1"/>
  <c r="AD96" i="2" s="1"/>
  <c r="AE96" i="2" s="1"/>
  <c r="AF96" i="2" s="1"/>
  <c r="C166" i="6"/>
  <c r="C173" i="6"/>
  <c r="D93" i="2"/>
  <c r="E93" i="2" s="1"/>
  <c r="F93" i="2" s="1"/>
  <c r="G93" i="2" s="1"/>
  <c r="H93" i="2" s="1"/>
  <c r="I93" i="2" s="1"/>
  <c r="J93" i="2" s="1"/>
  <c r="K93" i="2" s="1"/>
  <c r="L93" i="2" s="1"/>
  <c r="M93" i="2" s="1"/>
  <c r="N93" i="2" s="1"/>
  <c r="O93" i="2" s="1"/>
  <c r="P93" i="2" s="1"/>
  <c r="Q93" i="2" s="1"/>
  <c r="R93" i="2" s="1"/>
  <c r="S93" i="2" s="1"/>
  <c r="T93" i="2" s="1"/>
  <c r="U93" i="2" s="1"/>
  <c r="V93" i="2" s="1"/>
  <c r="W93" i="2" s="1"/>
  <c r="X93" i="2" s="1"/>
  <c r="Y93" i="2" s="1"/>
  <c r="Z93" i="2" s="1"/>
  <c r="AA93" i="2" s="1"/>
  <c r="AB93" i="2" s="1"/>
  <c r="AC93" i="2" s="1"/>
  <c r="AD93" i="2" s="1"/>
  <c r="AE93" i="2" s="1"/>
  <c r="AF93" i="2" s="1"/>
  <c r="C94" i="2"/>
  <c r="AG93" i="2"/>
  <c r="D86" i="2"/>
  <c r="E86" i="2" s="1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R86" i="2" s="1"/>
  <c r="S86" i="2" s="1"/>
  <c r="T86" i="2" s="1"/>
  <c r="U86" i="2" s="1"/>
  <c r="V86" i="2" s="1"/>
  <c r="W86" i="2" s="1"/>
  <c r="X86" i="2" s="1"/>
  <c r="Y86" i="2" s="1"/>
  <c r="Z86" i="2" s="1"/>
  <c r="AA86" i="2" s="1"/>
  <c r="AB86" i="2" s="1"/>
  <c r="AC86" i="2" s="1"/>
  <c r="AD86" i="2" s="1"/>
  <c r="AE86" i="2" s="1"/>
  <c r="AF86" i="2" s="1"/>
  <c r="AH79" i="2" s="1"/>
  <c r="D217" i="6"/>
  <c r="F234" i="6" s="1"/>
  <c r="D210" i="6"/>
  <c r="E234" i="6" s="1"/>
  <c r="D180" i="6"/>
  <c r="H183" i="6" s="1"/>
  <c r="C156" i="6"/>
  <c r="D160" i="6"/>
  <c r="E183" i="6" s="1"/>
  <c r="C160" i="6"/>
  <c r="H391" i="12"/>
  <c r="E391" i="12"/>
  <c r="D393" i="11"/>
  <c r="L392" i="11"/>
  <c r="L391" i="11"/>
  <c r="D111" i="6"/>
  <c r="E71" i="2"/>
  <c r="J391" i="11"/>
  <c r="E111" i="6" l="1"/>
  <c r="F71" i="2"/>
  <c r="D394" i="11"/>
  <c r="L393" i="11"/>
  <c r="J8" i="18"/>
  <c r="I391" i="12"/>
  <c r="G391" i="12" s="1"/>
  <c r="D392" i="12" s="1"/>
  <c r="L94" i="2"/>
  <c r="M94" i="2"/>
  <c r="V94" i="2"/>
  <c r="AA94" i="2"/>
  <c r="T94" i="2"/>
  <c r="U94" i="2"/>
  <c r="AD94" i="2"/>
  <c r="AC94" i="2"/>
  <c r="X94" i="2"/>
  <c r="Y94" i="2"/>
  <c r="G94" i="2"/>
  <c r="P94" i="2"/>
  <c r="Q94" i="2"/>
  <c r="Z94" i="2"/>
  <c r="AE94" i="2"/>
  <c r="F94" i="2"/>
  <c r="D94" i="2"/>
  <c r="AG94" i="2" s="1"/>
  <c r="B103" i="2" s="1"/>
  <c r="J4" i="18" s="1"/>
  <c r="C25" i="25" s="1"/>
  <c r="N94" i="2"/>
  <c r="H94" i="2"/>
  <c r="R94" i="2"/>
  <c r="AF94" i="2"/>
  <c r="O94" i="2"/>
  <c r="AB94" i="2"/>
  <c r="K94" i="2"/>
  <c r="E94" i="2"/>
  <c r="S94" i="2"/>
  <c r="I94" i="2"/>
  <c r="W94" i="2"/>
  <c r="J94" i="2"/>
  <c r="AG96" i="2"/>
  <c r="F113" i="6"/>
  <c r="G74" i="2"/>
  <c r="J391" i="12" l="1"/>
  <c r="H394" i="11"/>
  <c r="E394" i="11"/>
  <c r="G113" i="6"/>
  <c r="H74" i="2"/>
  <c r="J97" i="2"/>
  <c r="O97" i="2"/>
  <c r="P97" i="2"/>
  <c r="Q97" i="2"/>
  <c r="G97" i="2"/>
  <c r="H97" i="2"/>
  <c r="I97" i="2"/>
  <c r="F97" i="2"/>
  <c r="K97" i="2"/>
  <c r="L97" i="2"/>
  <c r="M97" i="2"/>
  <c r="N97" i="2"/>
  <c r="S97" i="2"/>
  <c r="T97" i="2"/>
  <c r="U97" i="2"/>
  <c r="AE97" i="2"/>
  <c r="R97" i="2"/>
  <c r="X97" i="2"/>
  <c r="V97" i="2"/>
  <c r="AB97" i="2"/>
  <c r="AD97" i="2"/>
  <c r="E97" i="2"/>
  <c r="Z97" i="2"/>
  <c r="AF97" i="2"/>
  <c r="W97" i="2"/>
  <c r="Y97" i="2"/>
  <c r="AA97" i="2"/>
  <c r="AC97" i="2"/>
  <c r="D97" i="2"/>
  <c r="D393" i="12"/>
  <c r="L392" i="12"/>
  <c r="L391" i="12"/>
  <c r="F111" i="6"/>
  <c r="G71" i="2"/>
  <c r="I394" i="11" l="1"/>
  <c r="G394" i="11" s="1"/>
  <c r="D395" i="11" s="1"/>
  <c r="H113" i="6"/>
  <c r="I74" i="2"/>
  <c r="G111" i="6"/>
  <c r="H71" i="2"/>
  <c r="D394" i="12"/>
  <c r="AG97" i="2"/>
  <c r="B104" i="2" s="1"/>
  <c r="J5" i="18" s="1"/>
  <c r="C26" i="25" s="1"/>
  <c r="H394" i="12" l="1"/>
  <c r="E394" i="12"/>
  <c r="L393" i="12"/>
  <c r="H111" i="6"/>
  <c r="I71" i="2"/>
  <c r="I113" i="6"/>
  <c r="J74" i="2"/>
  <c r="D396" i="11"/>
  <c r="L394" i="11"/>
  <c r="J394" i="11"/>
  <c r="I394" i="12" l="1"/>
  <c r="G394" i="12" s="1"/>
  <c r="D395" i="12" s="1"/>
  <c r="D397" i="11"/>
  <c r="L395" i="11"/>
  <c r="J113" i="6"/>
  <c r="K74" i="2"/>
  <c r="I111" i="6"/>
  <c r="J71" i="2"/>
  <c r="K113" i="6" l="1"/>
  <c r="L74" i="2"/>
  <c r="H397" i="11"/>
  <c r="E397" i="11"/>
  <c r="D396" i="12"/>
  <c r="L395" i="12"/>
  <c r="L394" i="12"/>
  <c r="J111" i="6"/>
  <c r="K71" i="2"/>
  <c r="L396" i="11"/>
  <c r="J394" i="12"/>
  <c r="I397" i="11" l="1"/>
  <c r="G397" i="11" s="1"/>
  <c r="D398" i="11" s="1"/>
  <c r="L113" i="6"/>
  <c r="M74" i="2"/>
  <c r="K111" i="6"/>
  <c r="L71" i="2"/>
  <c r="D397" i="12"/>
  <c r="H397" i="12" l="1"/>
  <c r="E397" i="12"/>
  <c r="L111" i="6"/>
  <c r="M71" i="2"/>
  <c r="M113" i="6"/>
  <c r="N74" i="2"/>
  <c r="L396" i="12"/>
  <c r="D399" i="11"/>
  <c r="L397" i="11"/>
  <c r="J397" i="11"/>
  <c r="I397" i="12" l="1"/>
  <c r="G397" i="12" s="1"/>
  <c r="D398" i="12" s="1"/>
  <c r="D400" i="11"/>
  <c r="L399" i="11"/>
  <c r="N113" i="6"/>
  <c r="O74" i="2"/>
  <c r="M111" i="6"/>
  <c r="N71" i="2"/>
  <c r="L398" i="11"/>
  <c r="N111" i="6" l="1"/>
  <c r="O71" i="2"/>
  <c r="O113" i="6"/>
  <c r="P74" i="2"/>
  <c r="D399" i="12"/>
  <c r="L398" i="12" s="1"/>
  <c r="L397" i="12"/>
  <c r="H400" i="11"/>
  <c r="E400" i="11"/>
  <c r="J397" i="12"/>
  <c r="P113" i="6" l="1"/>
  <c r="Q74" i="2"/>
  <c r="O111" i="6"/>
  <c r="P71" i="2"/>
  <c r="I400" i="11"/>
  <c r="G400" i="11" s="1"/>
  <c r="D401" i="11" s="1"/>
  <c r="D400" i="12"/>
  <c r="D402" i="11" l="1"/>
  <c r="L401" i="11" s="1"/>
  <c r="L400" i="11"/>
  <c r="P111" i="6"/>
  <c r="Q71" i="2"/>
  <c r="Q113" i="6"/>
  <c r="R74" i="2"/>
  <c r="H400" i="12"/>
  <c r="E400" i="12"/>
  <c r="L399" i="12"/>
  <c r="J400" i="11"/>
  <c r="I400" i="12" l="1"/>
  <c r="G400" i="12" s="1"/>
  <c r="D401" i="12" s="1"/>
  <c r="R113" i="6"/>
  <c r="S74" i="2"/>
  <c r="Q111" i="6"/>
  <c r="R71" i="2"/>
  <c r="D403" i="11"/>
  <c r="L402" i="11"/>
  <c r="R111" i="6" l="1"/>
  <c r="S71" i="2"/>
  <c r="D402" i="12"/>
  <c r="L401" i="12"/>
  <c r="L400" i="12"/>
  <c r="S113" i="6"/>
  <c r="T74" i="2"/>
  <c r="H403" i="11"/>
  <c r="E403" i="11"/>
  <c r="J400" i="12"/>
  <c r="S111" i="6" l="1"/>
  <c r="T71" i="2"/>
  <c r="I403" i="11"/>
  <c r="G403" i="11" s="1"/>
  <c r="D404" i="11" s="1"/>
  <c r="T113" i="6"/>
  <c r="U74" i="2"/>
  <c r="D403" i="12"/>
  <c r="L402" i="12"/>
  <c r="U113" i="6" l="1"/>
  <c r="V74" i="2"/>
  <c r="D405" i="11"/>
  <c r="L404" i="11"/>
  <c r="L403" i="11"/>
  <c r="T111" i="6"/>
  <c r="U71" i="2"/>
  <c r="H403" i="12"/>
  <c r="E403" i="12"/>
  <c r="J403" i="11"/>
  <c r="V113" i="6" l="1"/>
  <c r="AG113" i="6" s="1"/>
  <c r="W74" i="2"/>
  <c r="X74" i="2" s="1"/>
  <c r="Y74" i="2" s="1"/>
  <c r="Z74" i="2" s="1"/>
  <c r="AA74" i="2" s="1"/>
  <c r="J403" i="12"/>
  <c r="I403" i="12"/>
  <c r="G403" i="12" s="1"/>
  <c r="D404" i="12" s="1"/>
  <c r="U111" i="6"/>
  <c r="V71" i="2"/>
  <c r="D406" i="11"/>
  <c r="H406" i="11" l="1"/>
  <c r="E406" i="11"/>
  <c r="L405" i="11"/>
  <c r="V111" i="6"/>
  <c r="AG111" i="6" s="1"/>
  <c r="W71" i="2"/>
  <c r="X71" i="2" s="1"/>
  <c r="Y71" i="2" s="1"/>
  <c r="Z71" i="2" s="1"/>
  <c r="AA71" i="2" s="1"/>
  <c r="D405" i="12"/>
  <c r="L403" i="12"/>
  <c r="I406" i="11" l="1"/>
  <c r="G406" i="11" s="1"/>
  <c r="D407" i="11" s="1"/>
  <c r="D406" i="12"/>
  <c r="L404" i="12"/>
  <c r="H406" i="12" l="1"/>
  <c r="E406" i="12"/>
  <c r="D408" i="11"/>
  <c r="L407" i="11"/>
  <c r="L406" i="11"/>
  <c r="L405" i="12"/>
  <c r="J406" i="11"/>
  <c r="I406" i="12" l="1"/>
  <c r="G406" i="12" s="1"/>
  <c r="D407" i="12" s="1"/>
  <c r="D409" i="11"/>
  <c r="D408" i="12" l="1"/>
  <c r="L406" i="12"/>
  <c r="H409" i="11"/>
  <c r="E409" i="11"/>
  <c r="L408" i="11"/>
  <c r="J406" i="12"/>
  <c r="D409" i="12" l="1"/>
  <c r="L408" i="12" s="1"/>
  <c r="I409" i="11"/>
  <c r="G409" i="11" s="1"/>
  <c r="D410" i="11" s="1"/>
  <c r="L407" i="12"/>
  <c r="D411" i="11" l="1"/>
  <c r="L410" i="11" s="1"/>
  <c r="L409" i="11"/>
  <c r="J409" i="11"/>
  <c r="H409" i="12"/>
  <c r="E409" i="12"/>
  <c r="I409" i="12" l="1"/>
  <c r="G409" i="12" s="1"/>
  <c r="D410" i="12" s="1"/>
  <c r="D412" i="11"/>
  <c r="L411" i="11"/>
  <c r="D411" i="12" l="1"/>
  <c r="L410" i="12" s="1"/>
  <c r="L409" i="12"/>
  <c r="H412" i="11"/>
  <c r="E412" i="11"/>
  <c r="J409" i="12"/>
  <c r="I412" i="11" l="1"/>
  <c r="G412" i="11" s="1"/>
  <c r="D413" i="11" s="1"/>
  <c r="D412" i="12"/>
  <c r="L411" i="12"/>
  <c r="D414" i="11" l="1"/>
  <c r="L413" i="11"/>
  <c r="L412" i="11"/>
  <c r="H412" i="12"/>
  <c r="E412" i="12"/>
  <c r="J412" i="11"/>
  <c r="I412" i="12" l="1"/>
  <c r="G412" i="12" s="1"/>
  <c r="D413" i="12" s="1"/>
  <c r="D415" i="11"/>
  <c r="L414" i="11"/>
  <c r="D414" i="12" l="1"/>
  <c r="L413" i="12" s="1"/>
  <c r="L412" i="12"/>
  <c r="H415" i="11"/>
  <c r="E415" i="11"/>
  <c r="J412" i="12"/>
  <c r="J415" i="11" l="1"/>
  <c r="I415" i="11"/>
  <c r="G415" i="11" s="1"/>
  <c r="D416" i="11" s="1"/>
  <c r="L414" i="12"/>
  <c r="D415" i="12"/>
  <c r="H415" i="12" l="1"/>
  <c r="E415" i="12"/>
  <c r="D417" i="11"/>
  <c r="L416" i="11"/>
  <c r="L415" i="11"/>
  <c r="I415" i="12" l="1"/>
  <c r="G415" i="12" s="1"/>
  <c r="D416" i="12" s="1"/>
  <c r="D418" i="11"/>
  <c r="L417" i="11"/>
  <c r="D417" i="12" l="1"/>
  <c r="L416" i="12" s="1"/>
  <c r="L415" i="12"/>
  <c r="H418" i="11"/>
  <c r="E418" i="11"/>
  <c r="J415" i="12"/>
  <c r="I418" i="11" l="1"/>
  <c r="G418" i="11" s="1"/>
  <c r="D419" i="11" s="1"/>
  <c r="D418" i="12"/>
  <c r="L417" i="12"/>
  <c r="D420" i="11" l="1"/>
  <c r="L418" i="11"/>
  <c r="H418" i="12"/>
  <c r="E418" i="12"/>
  <c r="J418" i="11"/>
  <c r="L420" i="11" l="1"/>
  <c r="D421" i="11"/>
  <c r="J418" i="12"/>
  <c r="I418" i="12"/>
  <c r="G418" i="12" s="1"/>
  <c r="D419" i="12" s="1"/>
  <c r="L419" i="11"/>
  <c r="D420" i="12" l="1"/>
  <c r="L419" i="12"/>
  <c r="L418" i="12"/>
  <c r="H421" i="11"/>
  <c r="E421" i="11"/>
  <c r="I421" i="11" l="1"/>
  <c r="G421" i="11" s="1"/>
  <c r="D422" i="11" s="1"/>
  <c r="D421" i="12"/>
  <c r="D423" i="11" l="1"/>
  <c r="L422" i="11" s="1"/>
  <c r="L421" i="11"/>
  <c r="H421" i="12"/>
  <c r="E421" i="12"/>
  <c r="L420" i="12"/>
  <c r="J421" i="11"/>
  <c r="I421" i="12" l="1"/>
  <c r="G421" i="12" s="1"/>
  <c r="D422" i="12" s="1"/>
  <c r="D424" i="11"/>
  <c r="L423" i="11"/>
  <c r="D423" i="12" l="1"/>
  <c r="L422" i="12"/>
  <c r="L421" i="12"/>
  <c r="H424" i="11"/>
  <c r="E424" i="11"/>
  <c r="J421" i="12"/>
  <c r="I424" i="11" l="1"/>
  <c r="G424" i="11" s="1"/>
  <c r="D425" i="11" s="1"/>
  <c r="D424" i="12"/>
  <c r="L423" i="12"/>
  <c r="D426" i="11" l="1"/>
  <c r="L424" i="11"/>
  <c r="H424" i="12"/>
  <c r="E424" i="12"/>
  <c r="J424" i="11"/>
  <c r="I424" i="12" l="1"/>
  <c r="G424" i="12" s="1"/>
  <c r="D425" i="12" s="1"/>
  <c r="D427" i="11"/>
  <c r="L426" i="11"/>
  <c r="L425" i="11"/>
  <c r="D426" i="12" l="1"/>
  <c r="L425" i="12" s="1"/>
  <c r="L424" i="12"/>
  <c r="H427" i="11"/>
  <c r="E427" i="11"/>
  <c r="J424" i="12"/>
  <c r="I427" i="11" l="1"/>
  <c r="G427" i="11" s="1"/>
  <c r="D428" i="11" s="1"/>
  <c r="D427" i="12"/>
  <c r="L426" i="12"/>
  <c r="D429" i="11" l="1"/>
  <c r="L428" i="11"/>
  <c r="L427" i="11"/>
  <c r="H427" i="12"/>
  <c r="E427" i="12"/>
  <c r="J427" i="11"/>
  <c r="I427" i="12" l="1"/>
  <c r="G427" i="12" s="1"/>
  <c r="D428" i="12" s="1"/>
  <c r="D430" i="11"/>
  <c r="L429" i="11"/>
  <c r="D429" i="12" l="1"/>
  <c r="L428" i="12"/>
  <c r="L427" i="12"/>
  <c r="H430" i="11"/>
  <c r="E430" i="11"/>
  <c r="J427" i="12"/>
  <c r="I430" i="11" l="1"/>
  <c r="G430" i="11" s="1"/>
  <c r="D431" i="11" s="1"/>
  <c r="D430" i="12"/>
  <c r="H430" i="12" l="1"/>
  <c r="E430" i="12"/>
  <c r="D432" i="11"/>
  <c r="L430" i="11"/>
  <c r="L429" i="12"/>
  <c r="J430" i="11"/>
  <c r="D433" i="11" l="1"/>
  <c r="L432" i="11"/>
  <c r="I430" i="12"/>
  <c r="G430" i="12" s="1"/>
  <c r="D431" i="12" s="1"/>
  <c r="L431" i="11"/>
  <c r="D432" i="12" l="1"/>
  <c r="L431" i="12"/>
  <c r="L430" i="12"/>
  <c r="J430" i="12"/>
  <c r="H433" i="11"/>
  <c r="E433" i="11"/>
  <c r="I433" i="11" l="1"/>
  <c r="G433" i="11" s="1"/>
  <c r="D434" i="11" s="1"/>
  <c r="D433" i="12"/>
  <c r="L432" i="12"/>
  <c r="D435" i="11" l="1"/>
  <c r="L434" i="11"/>
  <c r="L433" i="11"/>
  <c r="H433" i="12"/>
  <c r="E433" i="12"/>
  <c r="J433" i="11"/>
  <c r="I433" i="12" l="1"/>
  <c r="G433" i="12" s="1"/>
  <c r="D434" i="12" s="1"/>
  <c r="D436" i="11"/>
  <c r="L435" i="11"/>
  <c r="D435" i="12" l="1"/>
  <c r="L434" i="12"/>
  <c r="L433" i="12"/>
  <c r="H436" i="11"/>
  <c r="E436" i="11"/>
  <c r="J433" i="12"/>
  <c r="I436" i="11" l="1"/>
  <c r="G436" i="11" s="1"/>
  <c r="D437" i="11" s="1"/>
  <c r="D436" i="12"/>
  <c r="H436" i="12" l="1"/>
  <c r="E436" i="12"/>
  <c r="D438" i="11"/>
  <c r="L436" i="11"/>
  <c r="L435" i="12"/>
  <c r="J436" i="11"/>
  <c r="D439" i="11" l="1"/>
  <c r="I436" i="12"/>
  <c r="G436" i="12" s="1"/>
  <c r="D437" i="12" s="1"/>
  <c r="L437" i="11"/>
  <c r="D438" i="12" l="1"/>
  <c r="L436" i="12"/>
  <c r="H439" i="11"/>
  <c r="E439" i="11"/>
  <c r="J436" i="12"/>
  <c r="L438" i="11"/>
  <c r="D439" i="12" l="1"/>
  <c r="I439" i="11"/>
  <c r="G439" i="11" s="1"/>
  <c r="D440" i="11" s="1"/>
  <c r="L437" i="12"/>
  <c r="D441" i="11" l="1"/>
  <c r="L439" i="11"/>
  <c r="H439" i="12"/>
  <c r="E439" i="12"/>
  <c r="J439" i="11"/>
  <c r="L438" i="12"/>
  <c r="D442" i="11" l="1"/>
  <c r="I439" i="12"/>
  <c r="G439" i="12" s="1"/>
  <c r="D440" i="12" s="1"/>
  <c r="L440" i="11"/>
  <c r="L440" i="12" l="1"/>
  <c r="D441" i="12"/>
  <c r="L439" i="12"/>
  <c r="H442" i="11"/>
  <c r="E442" i="11"/>
  <c r="J439" i="12"/>
  <c r="L441" i="11"/>
  <c r="D442" i="12" l="1"/>
  <c r="I442" i="11"/>
  <c r="G442" i="11" s="1"/>
  <c r="D443" i="11" s="1"/>
  <c r="D444" i="11" l="1"/>
  <c r="L442" i="11"/>
  <c r="H442" i="12"/>
  <c r="E442" i="12"/>
  <c r="J442" i="11"/>
  <c r="L441" i="12"/>
  <c r="D445" i="11" l="1"/>
  <c r="I442" i="12"/>
  <c r="G442" i="12" s="1"/>
  <c r="D443" i="12" s="1"/>
  <c r="L443" i="11"/>
  <c r="D444" i="12" l="1"/>
  <c r="L442" i="12"/>
  <c r="H445" i="11"/>
  <c r="E445" i="11"/>
  <c r="J442" i="12"/>
  <c r="L444" i="11"/>
  <c r="D445" i="12" l="1"/>
  <c r="I445" i="11"/>
  <c r="G445" i="11" s="1"/>
  <c r="D446" i="11" s="1"/>
  <c r="L443" i="12"/>
  <c r="D447" i="11" l="1"/>
  <c r="L445" i="11"/>
  <c r="H445" i="12"/>
  <c r="E445" i="12"/>
  <c r="J445" i="11"/>
  <c r="L444" i="12"/>
  <c r="D448" i="11" l="1"/>
  <c r="I445" i="12"/>
  <c r="G445" i="12" s="1"/>
  <c r="D446" i="12" s="1"/>
  <c r="L446" i="11"/>
  <c r="D447" i="12" l="1"/>
  <c r="L445" i="12"/>
  <c r="H448" i="11"/>
  <c r="E448" i="11"/>
  <c r="J445" i="12"/>
  <c r="L447" i="11"/>
  <c r="D448" i="12" l="1"/>
  <c r="I448" i="11"/>
  <c r="G448" i="11" s="1"/>
  <c r="D449" i="11" s="1"/>
  <c r="L446" i="12"/>
  <c r="H448" i="12" l="1"/>
  <c r="E448" i="12"/>
  <c r="L449" i="11"/>
  <c r="D450" i="11"/>
  <c r="L448" i="11"/>
  <c r="J448" i="11"/>
  <c r="L447" i="12"/>
  <c r="D451" i="11" l="1"/>
  <c r="I448" i="12"/>
  <c r="G448" i="12" s="1"/>
  <c r="D449" i="12" s="1"/>
  <c r="D450" i="12" l="1"/>
  <c r="L448" i="12"/>
  <c r="H451" i="11"/>
  <c r="E451" i="11"/>
  <c r="J448" i="12"/>
  <c r="L450" i="11"/>
  <c r="D451" i="12" l="1"/>
  <c r="I451" i="11"/>
  <c r="G451" i="11" s="1"/>
  <c r="D452" i="11" s="1"/>
  <c r="L449" i="12"/>
  <c r="D453" i="11" l="1"/>
  <c r="L451" i="11"/>
  <c r="H451" i="12"/>
  <c r="E451" i="12"/>
  <c r="J451" i="11"/>
  <c r="L450" i="12"/>
  <c r="I451" i="12" l="1"/>
  <c r="G451" i="12" s="1"/>
  <c r="D452" i="12" s="1"/>
  <c r="D454" i="11"/>
  <c r="L452" i="11"/>
  <c r="H454" i="11" l="1"/>
  <c r="E454" i="11"/>
  <c r="D453" i="12"/>
  <c r="L451" i="12"/>
  <c r="L453" i="11"/>
  <c r="J451" i="12"/>
  <c r="I454" i="11" l="1"/>
  <c r="G454" i="11" s="1"/>
  <c r="D455" i="11" s="1"/>
  <c r="D454" i="12"/>
  <c r="L453" i="12"/>
  <c r="L452" i="12"/>
  <c r="D456" i="11" l="1"/>
  <c r="L455" i="11"/>
  <c r="L454" i="11"/>
  <c r="H454" i="12"/>
  <c r="E454" i="12"/>
  <c r="J454" i="11"/>
  <c r="I454" i="12" l="1"/>
  <c r="G454" i="12" s="1"/>
  <c r="D455" i="12" s="1"/>
  <c r="D457" i="11"/>
  <c r="D456" i="12" l="1"/>
  <c r="L454" i="12"/>
  <c r="H457" i="11"/>
  <c r="E457" i="11"/>
  <c r="L456" i="11"/>
  <c r="J454" i="12"/>
  <c r="D457" i="12" l="1"/>
  <c r="I457" i="11"/>
  <c r="G457" i="11" s="1"/>
  <c r="D458" i="11" s="1"/>
  <c r="L455" i="12"/>
  <c r="D459" i="11" l="1"/>
  <c r="L457" i="11"/>
  <c r="H457" i="12"/>
  <c r="E457" i="12"/>
  <c r="J457" i="11"/>
  <c r="L456" i="12"/>
  <c r="I457" i="12" l="1"/>
  <c r="G457" i="12" s="1"/>
  <c r="D458" i="12" s="1"/>
  <c r="D460" i="11"/>
  <c r="L458" i="11"/>
  <c r="H460" i="11" l="1"/>
  <c r="E460" i="11"/>
  <c r="D459" i="12"/>
  <c r="L457" i="12"/>
  <c r="L459" i="11"/>
  <c r="J457" i="12"/>
  <c r="I460" i="11" l="1"/>
  <c r="G460" i="11" s="1"/>
  <c r="D461" i="11" s="1"/>
  <c r="D460" i="12"/>
  <c r="L458" i="12"/>
  <c r="H460" i="12" l="1"/>
  <c r="E460" i="12"/>
  <c r="D462" i="11"/>
  <c r="L460" i="11"/>
  <c r="L459" i="12"/>
  <c r="J460" i="11"/>
  <c r="I460" i="12" l="1"/>
  <c r="G460" i="12" s="1"/>
  <c r="D461" i="12" s="1"/>
  <c r="D463" i="11"/>
  <c r="L462" i="11"/>
  <c r="L461" i="11"/>
  <c r="D462" i="12" l="1"/>
  <c r="L461" i="12"/>
  <c r="L460" i="12"/>
  <c r="H463" i="11"/>
  <c r="E463" i="11"/>
  <c r="J460" i="12"/>
  <c r="I463" i="11" l="1"/>
  <c r="G463" i="11" s="1"/>
  <c r="D464" i="11" s="1"/>
  <c r="D463" i="12"/>
  <c r="D465" i="11" l="1"/>
  <c r="L464" i="11"/>
  <c r="L463" i="11"/>
  <c r="H463" i="12"/>
  <c r="E463" i="12"/>
  <c r="L462" i="12"/>
  <c r="J463" i="11"/>
  <c r="I463" i="12" l="1"/>
  <c r="G463" i="12" s="1"/>
  <c r="D464" i="12" s="1"/>
  <c r="D466" i="11"/>
  <c r="L465" i="11"/>
  <c r="D465" i="12" l="1"/>
  <c r="L464" i="12"/>
  <c r="L463" i="12"/>
  <c r="H466" i="11"/>
  <c r="E466" i="11"/>
  <c r="J463" i="12"/>
  <c r="I466" i="11" l="1"/>
  <c r="G466" i="11" s="1"/>
  <c r="D467" i="11" s="1"/>
  <c r="D466" i="12"/>
  <c r="L465" i="12"/>
  <c r="D468" i="11" l="1"/>
  <c r="L467" i="11" s="1"/>
  <c r="L466" i="11"/>
  <c r="H466" i="12"/>
  <c r="E466" i="12"/>
  <c r="J466" i="11"/>
  <c r="I466" i="12" l="1"/>
  <c r="G466" i="12" s="1"/>
  <c r="D467" i="12" s="1"/>
  <c r="D469" i="11"/>
  <c r="D468" i="12" l="1"/>
  <c r="L467" i="12" s="1"/>
  <c r="L466" i="12"/>
  <c r="H469" i="11"/>
  <c r="E469" i="11"/>
  <c r="L468" i="11"/>
  <c r="J466" i="12"/>
  <c r="I469" i="11" l="1"/>
  <c r="G469" i="11" s="1"/>
  <c r="D470" i="11" s="1"/>
  <c r="D469" i="12"/>
  <c r="L468" i="12"/>
  <c r="D471" i="11" l="1"/>
  <c r="L469" i="11"/>
  <c r="H469" i="12"/>
  <c r="E469" i="12"/>
  <c r="J469" i="11"/>
  <c r="I469" i="12" l="1"/>
  <c r="G469" i="12" s="1"/>
  <c r="D470" i="12" s="1"/>
  <c r="D472" i="11"/>
  <c r="L471" i="11"/>
  <c r="L470" i="11"/>
  <c r="D471" i="12" l="1"/>
  <c r="L469" i="12"/>
  <c r="H472" i="11"/>
  <c r="E472" i="11"/>
  <c r="J469" i="12"/>
  <c r="D472" i="12" l="1"/>
  <c r="I472" i="11"/>
  <c r="G472" i="11" s="1"/>
  <c r="D473" i="11" s="1"/>
  <c r="L470" i="12"/>
  <c r="L473" i="11" l="1"/>
  <c r="D474" i="11"/>
  <c r="L472" i="11"/>
  <c r="H472" i="12"/>
  <c r="E472" i="12"/>
  <c r="J472" i="11"/>
  <c r="L471" i="12"/>
  <c r="I472" i="12" l="1"/>
  <c r="G472" i="12" s="1"/>
  <c r="D473" i="12" s="1"/>
  <c r="D475" i="11"/>
  <c r="D474" i="12" l="1"/>
  <c r="L472" i="12"/>
  <c r="H475" i="11"/>
  <c r="E475" i="11"/>
  <c r="L474" i="11"/>
  <c r="J472" i="12"/>
  <c r="D475" i="12" l="1"/>
  <c r="L474" i="12" s="1"/>
  <c r="I475" i="11"/>
  <c r="G475" i="11" s="1"/>
  <c r="D476" i="11" s="1"/>
  <c r="L473" i="12"/>
  <c r="D477" i="11" l="1"/>
  <c r="L475" i="11"/>
  <c r="J475" i="11"/>
  <c r="H475" i="12"/>
  <c r="E475" i="12"/>
  <c r="I475" i="12" l="1"/>
  <c r="G475" i="12" s="1"/>
  <c r="D476" i="12" s="1"/>
  <c r="D478" i="11"/>
  <c r="L476" i="11"/>
  <c r="H478" i="11" l="1"/>
  <c r="E478" i="11"/>
  <c r="D477" i="12"/>
  <c r="L476" i="12"/>
  <c r="L475" i="12"/>
  <c r="L477" i="11"/>
  <c r="J475" i="12"/>
  <c r="I478" i="11" l="1"/>
  <c r="G478" i="11" s="1"/>
  <c r="D479" i="11" s="1"/>
  <c r="D478" i="12"/>
  <c r="D480" i="11" l="1"/>
  <c r="L478" i="11"/>
  <c r="H478" i="12"/>
  <c r="E478" i="12"/>
  <c r="L477" i="12"/>
  <c r="J478" i="11"/>
  <c r="D481" i="11" l="1"/>
  <c r="I478" i="12"/>
  <c r="G478" i="12" s="1"/>
  <c r="D479" i="12" s="1"/>
  <c r="L479" i="11"/>
  <c r="D480" i="12" l="1"/>
  <c r="L478" i="12"/>
  <c r="H481" i="11"/>
  <c r="E481" i="11"/>
  <c r="J478" i="12"/>
  <c r="L480" i="11"/>
  <c r="I481" i="11" l="1"/>
  <c r="G481" i="11" s="1"/>
  <c r="D482" i="11" s="1"/>
  <c r="D481" i="12"/>
  <c r="L479" i="12"/>
  <c r="D483" i="11" l="1"/>
  <c r="L482" i="11" s="1"/>
  <c r="L481" i="11"/>
  <c r="H481" i="12"/>
  <c r="E481" i="12"/>
  <c r="L480" i="12"/>
  <c r="J481" i="11"/>
  <c r="I481" i="12" l="1"/>
  <c r="G481" i="12" s="1"/>
  <c r="D482" i="12" s="1"/>
  <c r="D484" i="11"/>
  <c r="D483" i="12" l="1"/>
  <c r="L481" i="12"/>
  <c r="H484" i="11"/>
  <c r="E484" i="11"/>
  <c r="L483" i="11"/>
  <c r="J481" i="12"/>
  <c r="D484" i="12" l="1"/>
  <c r="I484" i="11"/>
  <c r="G484" i="11" s="1"/>
  <c r="D485" i="11" s="1"/>
  <c r="L482" i="12"/>
  <c r="D486" i="11" l="1"/>
  <c r="L485" i="11" s="1"/>
  <c r="L484" i="11"/>
  <c r="H484" i="12"/>
  <c r="E484" i="12"/>
  <c r="J484" i="11"/>
  <c r="L483" i="12"/>
  <c r="I484" i="12" l="1"/>
  <c r="G484" i="12" s="1"/>
  <c r="D485" i="12" s="1"/>
  <c r="D487" i="11"/>
  <c r="L486" i="11"/>
  <c r="D486" i="12" l="1"/>
  <c r="L484" i="12"/>
  <c r="H487" i="11"/>
  <c r="E487" i="11"/>
  <c r="J484" i="12"/>
  <c r="D487" i="12" l="1"/>
  <c r="L486" i="12" s="1"/>
  <c r="I487" i="11"/>
  <c r="G487" i="11" s="1"/>
  <c r="D488" i="11" s="1"/>
  <c r="L485" i="12"/>
  <c r="D489" i="11" l="1"/>
  <c r="L488" i="11" s="1"/>
  <c r="L487" i="11"/>
  <c r="J487" i="11"/>
  <c r="H487" i="12"/>
  <c r="E487" i="12"/>
  <c r="I487" i="12" l="1"/>
  <c r="G487" i="12" s="1"/>
  <c r="D488" i="12" s="1"/>
  <c r="D490" i="11"/>
  <c r="D489" i="12" l="1"/>
  <c r="L487" i="12"/>
  <c r="H490" i="11"/>
  <c r="E490" i="11"/>
  <c r="L489" i="11"/>
  <c r="J487" i="12"/>
  <c r="D490" i="12" l="1"/>
  <c r="L489" i="12" s="1"/>
  <c r="I490" i="11"/>
  <c r="G490" i="11" s="1"/>
  <c r="D491" i="11" s="1"/>
  <c r="L488" i="12"/>
  <c r="D492" i="11" l="1"/>
  <c r="L491" i="11" s="1"/>
  <c r="L490" i="11"/>
  <c r="J490" i="11"/>
  <c r="H490" i="12"/>
  <c r="E490" i="12"/>
  <c r="I490" i="12" l="1"/>
  <c r="G490" i="12" s="1"/>
  <c r="D491" i="12" s="1"/>
  <c r="D493" i="11"/>
  <c r="L492" i="11"/>
  <c r="D492" i="12" l="1"/>
  <c r="L491" i="12" s="1"/>
  <c r="L490" i="12"/>
  <c r="H493" i="11"/>
  <c r="E493" i="11"/>
  <c r="J490" i="12"/>
  <c r="I493" i="11" l="1"/>
  <c r="G493" i="11" s="1"/>
  <c r="D494" i="11" s="1"/>
  <c r="D493" i="12"/>
  <c r="L492" i="12"/>
  <c r="D495" i="11" l="1"/>
  <c r="L493" i="11"/>
  <c r="H493" i="12"/>
  <c r="E493" i="12"/>
  <c r="J493" i="11"/>
  <c r="I493" i="12" l="1"/>
  <c r="G493" i="12" s="1"/>
  <c r="D494" i="12" s="1"/>
  <c r="D496" i="11"/>
  <c r="L495" i="11"/>
  <c r="L494" i="11"/>
  <c r="D495" i="12" l="1"/>
  <c r="L493" i="12"/>
  <c r="H496" i="11"/>
  <c r="E496" i="11"/>
  <c r="J493" i="12"/>
  <c r="D496" i="12" l="1"/>
  <c r="L495" i="12" s="1"/>
  <c r="I496" i="11"/>
  <c r="G496" i="11" s="1"/>
  <c r="D497" i="11" s="1"/>
  <c r="L494" i="12"/>
  <c r="D498" i="11" l="1"/>
  <c r="L497" i="11" s="1"/>
  <c r="L496" i="11"/>
  <c r="J496" i="11"/>
  <c r="H496" i="12"/>
  <c r="E496" i="12"/>
  <c r="I496" i="12" l="1"/>
  <c r="G496" i="12" s="1"/>
  <c r="D497" i="12" s="1"/>
  <c r="D499" i="11"/>
  <c r="L498" i="11"/>
  <c r="D498" i="12" l="1"/>
  <c r="L497" i="12" s="1"/>
  <c r="L496" i="12"/>
  <c r="H499" i="11"/>
  <c r="E499" i="11"/>
  <c r="J496" i="12"/>
  <c r="I499" i="11" l="1"/>
  <c r="G499" i="11" s="1"/>
  <c r="D500" i="11" s="1"/>
  <c r="E501" i="11"/>
  <c r="D499" i="12"/>
  <c r="H499" i="12" l="1"/>
  <c r="E499" i="12"/>
  <c r="L498" i="12"/>
  <c r="L500" i="11"/>
  <c r="K18" i="11" s="1"/>
  <c r="L499" i="11"/>
  <c r="J499" i="11"/>
  <c r="I499" i="12" l="1"/>
  <c r="G499" i="12" s="1"/>
  <c r="D500" i="12" s="1"/>
  <c r="E501" i="12"/>
  <c r="L500" i="12" l="1"/>
  <c r="K18" i="12" s="1"/>
  <c r="L499" i="12"/>
  <c r="J499" i="12"/>
</calcChain>
</file>

<file path=xl/sharedStrings.xml><?xml version="1.0" encoding="utf-8"?>
<sst xmlns="http://schemas.openxmlformats.org/spreadsheetml/2006/main" count="1261" uniqueCount="881">
  <si>
    <t>new cost</t>
  </si>
  <si>
    <t>new NPV</t>
  </si>
  <si>
    <t>% Change</t>
  </si>
  <si>
    <t>new rate</t>
  </si>
  <si>
    <t>new subsidies</t>
  </si>
  <si>
    <t>Adjusted Cash Flows</t>
  </si>
  <si>
    <t>Summary change of yearly revenues</t>
  </si>
  <si>
    <t>%Change</t>
  </si>
  <si>
    <t>NPV Investment cost sensitivity</t>
  </si>
  <si>
    <t>NPV Discount Rate sensitivity</t>
  </si>
  <si>
    <t>Periodo</t>
  </si>
  <si>
    <t>Año</t>
  </si>
  <si>
    <t>Nota: Algunas personas pueden estar trabajando medio tiempo, por eso se consideran fracciones</t>
  </si>
  <si>
    <t>Total</t>
  </si>
  <si>
    <t>Ingresos</t>
  </si>
  <si>
    <t>Depreciación</t>
  </si>
  <si>
    <t>Flujo de Efectivo Neto</t>
  </si>
  <si>
    <t>Supuestos</t>
  </si>
  <si>
    <t>Valores Originales</t>
  </si>
  <si>
    <t>Valores Ajustados</t>
  </si>
  <si>
    <t>Ingresos Anuales por Venta de Electricidad</t>
  </si>
  <si>
    <t>Valor Actual</t>
  </si>
  <si>
    <t>Acumulado</t>
  </si>
  <si>
    <t>Análisis de Sensibilidad para VPN según Subsidios</t>
  </si>
  <si>
    <t>Sensibilidad para Periodo de Retorno</t>
  </si>
  <si>
    <t>% de cambio</t>
  </si>
  <si>
    <t>Valor nuevo</t>
  </si>
  <si>
    <t>Acumulado Ajustado</t>
  </si>
  <si>
    <t>Flujo de Efectivo Ajustado</t>
  </si>
  <si>
    <t>Mantenimiento y reparaciones Ajustados</t>
  </si>
  <si>
    <t>Mantenimiento y reparación Anual</t>
  </si>
  <si>
    <t>% cambio</t>
  </si>
  <si>
    <t>Resumen de cambio de mantenimiento y reparaciones anuales</t>
  </si>
  <si>
    <t>davon liquiditätswirksam</t>
  </si>
  <si>
    <t>Steuern Pauschal in % des Überschusses Betriebsergebnisses</t>
  </si>
  <si>
    <t>Liquidität (am Ende des Jahres)</t>
  </si>
  <si>
    <t>Ausschüttung an Gesellschafter in % auf Eigenkapitlal</t>
  </si>
  <si>
    <t>DSCR</t>
  </si>
  <si>
    <t>Betriebsergebnis nach Steuern</t>
  </si>
  <si>
    <t>Abschreibung Anlagen</t>
  </si>
  <si>
    <t>DSCR-Kriterium</t>
  </si>
  <si>
    <t>Projektentwicklungskosten</t>
  </si>
  <si>
    <t>Cash Flow (Nicht-Liquiditätswirksame Kosten berücksichtigt)</t>
  </si>
  <si>
    <t>Betriebsergebnis vor Steuer</t>
  </si>
  <si>
    <t>Gesamtkosten</t>
  </si>
  <si>
    <t>Anzahl tilgungsfreie Jahre</t>
  </si>
  <si>
    <t>Kreditart</t>
  </si>
  <si>
    <t>Rückstellungen für den Rückbau</t>
  </si>
  <si>
    <t>davon nicht-liquiditätswirksam</t>
  </si>
  <si>
    <t>Steuersatz (%)</t>
  </si>
  <si>
    <t>steuerfreier Betriebsertrag</t>
  </si>
  <si>
    <t>Rückstellungen für den Rückbau (Kosten pro Nutzungsjahr minus 1 Jahr)</t>
  </si>
  <si>
    <t>Rückstellungen für den Rückbau (% des Invests)</t>
  </si>
  <si>
    <t>Flujo de Efectivo Neto Descontado</t>
  </si>
  <si>
    <t>valores originales</t>
  </si>
  <si>
    <t>Daten für Grafik</t>
  </si>
  <si>
    <t>Liquidität und DSCR</t>
  </si>
  <si>
    <t>Zins</t>
  </si>
  <si>
    <t>Tilgung</t>
  </si>
  <si>
    <t>Kapitaldienst</t>
  </si>
  <si>
    <t>Check</t>
  </si>
  <si>
    <t>Finanzierung</t>
  </si>
  <si>
    <t>Art:</t>
  </si>
  <si>
    <t>Beginn:</t>
  </si>
  <si>
    <t>Inbetriebnahme:</t>
  </si>
  <si>
    <t>Januar</t>
  </si>
  <si>
    <t>Darlehensbetrag</t>
  </si>
  <si>
    <t>Auszahlung</t>
  </si>
  <si>
    <t>Darlehen netto</t>
  </si>
  <si>
    <t>Februar</t>
  </si>
  <si>
    <t>Zinsatz nominal</t>
  </si>
  <si>
    <t>nach Zinsbind.:</t>
  </si>
  <si>
    <t>Annuität</t>
  </si>
  <si>
    <t>Tilgungsrate</t>
  </si>
  <si>
    <t>März</t>
  </si>
  <si>
    <t>Ende Zinsb.:</t>
  </si>
  <si>
    <t>Tilgungstermine p.a.</t>
  </si>
  <si>
    <t>Tilgungsbeginn</t>
  </si>
  <si>
    <t>April</t>
  </si>
  <si>
    <t>Laufzeit</t>
  </si>
  <si>
    <t>tilgungsfrei:</t>
  </si>
  <si>
    <t>Zinstage p.a.</t>
  </si>
  <si>
    <t>Mai</t>
  </si>
  <si>
    <t>Valuta nach Zinsfestschr.</t>
  </si>
  <si>
    <t>Annuität nach Zinsfestschr.</t>
  </si>
  <si>
    <t>Tilgungsende</t>
  </si>
  <si>
    <t>Juni</t>
  </si>
  <si>
    <t>Termine</t>
  </si>
  <si>
    <t>Juli</t>
  </si>
  <si>
    <t>Tilgungstermine</t>
  </si>
  <si>
    <t>August</t>
  </si>
  <si>
    <t>Zinstermine</t>
  </si>
  <si>
    <t>September</t>
  </si>
  <si>
    <t>Oktober</t>
  </si>
  <si>
    <t>November</t>
  </si>
  <si>
    <t>Tilgungsplan</t>
  </si>
  <si>
    <t>Dezember</t>
  </si>
  <si>
    <t>Zinstermin</t>
  </si>
  <si>
    <t>Datum</t>
  </si>
  <si>
    <t>Valuta</t>
  </si>
  <si>
    <t>Zinssatz</t>
  </si>
  <si>
    <t>Tilgung Tilgungs-darlehen</t>
  </si>
  <si>
    <t>Tilgung Annuitäten-darlehen</t>
  </si>
  <si>
    <t>Jahr</t>
  </si>
  <si>
    <t>Ausschüttung an Gesellschafter</t>
  </si>
  <si>
    <t>Kreditfinanzierung</t>
  </si>
  <si>
    <t>Monat des Kreditbeginns</t>
  </si>
  <si>
    <t>Monat:</t>
  </si>
  <si>
    <t>Summe Überschuss</t>
  </si>
  <si>
    <t>Subventionen zum Projektbeginn</t>
  </si>
  <si>
    <t>Eigenkapital</t>
  </si>
  <si>
    <t>Deutsch</t>
  </si>
  <si>
    <t>Summe</t>
  </si>
  <si>
    <t>Pacht</t>
  </si>
  <si>
    <t>Versicherung</t>
  </si>
  <si>
    <t>Zinsen</t>
  </si>
  <si>
    <t>Projektdauer in Jahren</t>
  </si>
  <si>
    <t>Projektname</t>
  </si>
  <si>
    <t>Jahr Projektbeginn</t>
  </si>
  <si>
    <t>Energiepreissteigerung (%)</t>
  </si>
  <si>
    <t>Inflation (%)</t>
  </si>
  <si>
    <t>Nutzungsdauer der Anlage (in Jahren)</t>
  </si>
  <si>
    <t>Kosten im ersten Jahr</t>
  </si>
  <si>
    <t>Restwert</t>
  </si>
  <si>
    <t>Einnahmen</t>
  </si>
  <si>
    <t>Kreditvolumen</t>
  </si>
  <si>
    <t>Anteil Fremdkapital</t>
  </si>
  <si>
    <t>Kreditzinssatz (%) nach Zinsbindung</t>
  </si>
  <si>
    <t>Kreditzinssatz (%)</t>
  </si>
  <si>
    <t>Periode</t>
  </si>
  <si>
    <t>Personalkosten</t>
  </si>
  <si>
    <t>Verwaltungskosten</t>
  </si>
  <si>
    <t>Wartungskosten</t>
  </si>
  <si>
    <t>Betriebskosten</t>
  </si>
  <si>
    <t>Betriebskosten gesamt</t>
  </si>
  <si>
    <t>Finanzierungskosten</t>
  </si>
  <si>
    <t>Intereses</t>
  </si>
  <si>
    <t>Einsparungen durch Brennstoff/ Strom</t>
  </si>
  <si>
    <t>Andere Einnahmen</t>
  </si>
  <si>
    <t>Zuschüsse</t>
  </si>
  <si>
    <t>Einnahmen gesamt</t>
  </si>
  <si>
    <t>Abschreibung</t>
  </si>
  <si>
    <t>interner Zinsfuß</t>
  </si>
  <si>
    <t>einfache Amortisationszeit</t>
  </si>
  <si>
    <t>diskontierte Amortisationszeit</t>
  </si>
  <si>
    <t>Kapitalwert</t>
  </si>
  <si>
    <t>Abzinsungsfaktor (%)</t>
  </si>
  <si>
    <t>Annahmen</t>
  </si>
  <si>
    <t>Finanzierungskosten gesamt</t>
  </si>
  <si>
    <t>Betriebsergebnis nach Steuern diskontiert</t>
  </si>
  <si>
    <t>Investitionskosten</t>
  </si>
  <si>
    <t>aktueller Wert</t>
  </si>
  <si>
    <t>neuer Wert</t>
  </si>
  <si>
    <t>Sensibilitätsanalyse: Bitte eine "1" beim gewünschten Wert eingeben</t>
  </si>
  <si>
    <t>Jahre</t>
  </si>
  <si>
    <t>Amortisationszeit</t>
  </si>
  <si>
    <t>Betriebsergebnis nach Steuern akkumuliert</t>
  </si>
  <si>
    <t>Betriebsergebnis nach Steuern diskontiert akkumuliert</t>
  </si>
  <si>
    <t>Originalwerte</t>
  </si>
  <si>
    <t>angepasste Werte</t>
  </si>
  <si>
    <t>Vertragsdauer Kreditvertrag (in Jahren)</t>
  </si>
  <si>
    <t>Zinsbindung über Anzahl Jahre</t>
  </si>
  <si>
    <t>DSCR-Verlauf im Basis-Fall und unter den Annahmen der Sensitivitätsrechnung</t>
  </si>
  <si>
    <t>Strombereich</t>
  </si>
  <si>
    <t>Investition</t>
  </si>
  <si>
    <t>Einsparung</t>
  </si>
  <si>
    <t>Kosteneinsparung Strom</t>
  </si>
  <si>
    <t>kWh/a</t>
  </si>
  <si>
    <t>erwartet</t>
  </si>
  <si>
    <t>Maßnahme Lüftung</t>
  </si>
  <si>
    <t>Maßnahme S 3</t>
  </si>
  <si>
    <t>Maßnahme S 4</t>
  </si>
  <si>
    <t>Maßnahme S 5</t>
  </si>
  <si>
    <t>Maßnahme S 6</t>
  </si>
  <si>
    <t>Summe Strombereich</t>
  </si>
  <si>
    <t>Wärmebereich</t>
  </si>
  <si>
    <t>Kosteneinsparung Wärme</t>
  </si>
  <si>
    <t>Neue Kesselanlage</t>
  </si>
  <si>
    <t>Maßnahme W 3</t>
  </si>
  <si>
    <t>Maßnahme W 4</t>
  </si>
  <si>
    <t>Maßnahme W 5</t>
  </si>
  <si>
    <t>Maßnahme W 6</t>
  </si>
  <si>
    <t>Summe Wärmebereich</t>
  </si>
  <si>
    <t>Wasserbereich</t>
  </si>
  <si>
    <t>Kosteneinsparung Wasser</t>
  </si>
  <si>
    <t>m3/a</t>
  </si>
  <si>
    <t>Maßnahme Wasser 1</t>
  </si>
  <si>
    <t>Maßnahme Wasser 2</t>
  </si>
  <si>
    <t>Maßnahme Wasser 3</t>
  </si>
  <si>
    <t>Maßnahme Wasser 4</t>
  </si>
  <si>
    <t>Summe Wasserbereich</t>
  </si>
  <si>
    <t>Summe Investitionskosten Strom, Wärme u. Wasser</t>
  </si>
  <si>
    <t>Planungskosten in Prozent</t>
  </si>
  <si>
    <t>Planungskosten</t>
  </si>
  <si>
    <t xml:space="preserve">Summe Investitionskosten Wärme u. Strom incl. Planungskosten </t>
  </si>
  <si>
    <t>(erwartet)</t>
  </si>
  <si>
    <t>Unkalkuliertes in %</t>
  </si>
  <si>
    <t>Preis</t>
  </si>
  <si>
    <t>Leistungseinsparung</t>
  </si>
  <si>
    <t>kW</t>
  </si>
  <si>
    <t>Preis Arbeit</t>
  </si>
  <si>
    <t>Preis Leistung</t>
  </si>
  <si>
    <t>Betriebs- und Unterhaltskosten</t>
  </si>
  <si>
    <t>Steuern</t>
  </si>
  <si>
    <t>Erlöse</t>
  </si>
  <si>
    <t>Zins- und Tilgungsplan</t>
  </si>
  <si>
    <t>US$</t>
  </si>
  <si>
    <t>US$/kWh</t>
  </si>
  <si>
    <t>Maßnahme W 2</t>
  </si>
  <si>
    <t>US$/a</t>
  </si>
  <si>
    <t>Angesetzte sonstige Investitionskosten für Erfolgsvorschau</t>
  </si>
  <si>
    <t>US$/kW,a</t>
  </si>
  <si>
    <t>US$/m3</t>
  </si>
  <si>
    <t>Übersicht Effizienzmaßnahmen und Energiekosteneinsparung für Wirtschaftlichkeitsberechnung</t>
  </si>
  <si>
    <t>Energiekostenersparnis</t>
  </si>
  <si>
    <t>Stromkosteneinsparung</t>
  </si>
  <si>
    <t>Einsparung Wärmekosten</t>
  </si>
  <si>
    <t>Einsparung Wasserkosten</t>
  </si>
  <si>
    <t>Summe Kosteneinsparung</t>
  </si>
  <si>
    <t>Entwicklung Strompreis</t>
  </si>
  <si>
    <t>Entwicklung Wärmepreis</t>
  </si>
  <si>
    <t>Entwicklung Wasserpreis</t>
  </si>
  <si>
    <t>Input und Ergebnisübersicht</t>
  </si>
  <si>
    <t>Die wichtigsten Eingabewerte</t>
  </si>
  <si>
    <t xml:space="preserve">Parameter </t>
  </si>
  <si>
    <t>Ergebnisse</t>
  </si>
  <si>
    <t>Strompreissteigerung (%)</t>
  </si>
  <si>
    <t>Liquidität zu Beginn Projekt</t>
  </si>
  <si>
    <t>Variantenrechnung</t>
  </si>
  <si>
    <t xml:space="preserve">Ergebnisübersicht </t>
  </si>
  <si>
    <t>Ausgangswert</t>
  </si>
  <si>
    <t>Variante (Sensitivität)</t>
  </si>
  <si>
    <t>Ergebnisübersicht Graphik</t>
  </si>
  <si>
    <t>Betriebsergebnis jährlich Ausgangsdaten</t>
  </si>
  <si>
    <t>Betriebsergebnis jährlich Variantenrechnung</t>
  </si>
  <si>
    <r>
      <t xml:space="preserve">Betriebsergebnis akkumuliert </t>
    </r>
    <r>
      <rPr>
        <b/>
        <sz val="10"/>
        <color indexed="8"/>
        <rFont val="Arial"/>
        <family val="2"/>
      </rPr>
      <t>Ausgangsdaten</t>
    </r>
  </si>
  <si>
    <r>
      <t xml:space="preserve">Betriebsergebnis akkumuliert </t>
    </r>
    <r>
      <rPr>
        <b/>
        <sz val="10"/>
        <color indexed="8"/>
        <rFont val="Arial"/>
        <family val="2"/>
      </rPr>
      <t>Variantenrechnung</t>
    </r>
  </si>
  <si>
    <t>Minimale Liquidität</t>
  </si>
  <si>
    <t>Liquiditätsbedarf zu Projektbeginn</t>
  </si>
  <si>
    <t>niedrig</t>
  </si>
  <si>
    <t>kWh/kW,a</t>
  </si>
  <si>
    <t>%</t>
  </si>
  <si>
    <t>US$/kW</t>
  </si>
  <si>
    <t>%/a</t>
  </si>
  <si>
    <t>DSCR Ausgangswerte</t>
  </si>
  <si>
    <t>DSCR Variante</t>
  </si>
  <si>
    <t>Agio/Bearbeitungsgebühr</t>
  </si>
  <si>
    <t>Inbetriebnahme Projekt</t>
  </si>
  <si>
    <t>Tabelle Input Personal</t>
  </si>
  <si>
    <t>Gehalt für Position 1 (Dollar/monat u. Person)</t>
  </si>
  <si>
    <t>Anzahl der Vollzeitstellen</t>
  </si>
  <si>
    <t>Gehalt für Position 2 (Dollar/monat u. Person)</t>
  </si>
  <si>
    <t>Gesamtkosten Personal</t>
  </si>
  <si>
    <t>Sonstige Kosten Personal ($/Monat)</t>
  </si>
  <si>
    <t>Gehalt für Position 3 (Dollar/monat u. Person)</t>
  </si>
  <si>
    <t>Gehalt für Position 4 (Dollar/monat u. Person)</t>
  </si>
  <si>
    <t>Gehalt für Position 5 (Dollar/monat u. Person)</t>
  </si>
  <si>
    <t>Büromiete</t>
  </si>
  <si>
    <t>Administrative Kosten</t>
  </si>
  <si>
    <t>Kosten Kategorie 1</t>
  </si>
  <si>
    <t>Kosten Kategorie 2</t>
  </si>
  <si>
    <t>Kosten Kategorie 3</t>
  </si>
  <si>
    <t>Kosten Kategorie 4</t>
  </si>
  <si>
    <t>Kosten Kategorie 5</t>
  </si>
  <si>
    <t>Kosten Kategorie 6</t>
  </si>
  <si>
    <t>Kosten sonstige</t>
  </si>
  <si>
    <t>Summe Verwaltungskosten</t>
  </si>
  <si>
    <t>Zusammenstellung Kosten (Büro abklären)</t>
  </si>
  <si>
    <t>DSCR-Kriterium &gt; 1,x erfüllt?</t>
  </si>
  <si>
    <t>sonstige Kosten (öffentliche Abgaben, Gebühren, Versicherung)</t>
  </si>
  <si>
    <t>$/Monat</t>
  </si>
  <si>
    <t>$/Jahr</t>
  </si>
  <si>
    <t>Jährliche Kosten</t>
  </si>
  <si>
    <t xml:space="preserve">Kreditart </t>
  </si>
  <si>
    <t>Auszahlung in %</t>
  </si>
  <si>
    <t>Kredit Sensitivitätsrechnung</t>
  </si>
  <si>
    <t>Finanzierung Ausgangsdaten</t>
  </si>
  <si>
    <t>Finanzierung Sensitivitätsrechnung</t>
  </si>
  <si>
    <t>Unkalkuliertes in US$</t>
  </si>
  <si>
    <t>Allgemeine Preisentwicklung</t>
  </si>
  <si>
    <t>Jährliche Wartungkosten Strommaßnahmen</t>
  </si>
  <si>
    <t>Jährliche Wartungkosten Wärmemaßnahmen</t>
  </si>
  <si>
    <t>Jährliche Wartungkosten Wassersparmaßnahmen</t>
  </si>
  <si>
    <t>Calc1</t>
  </si>
  <si>
    <t>Calc2</t>
  </si>
  <si>
    <t>credit1 and credit2</t>
  </si>
  <si>
    <t>Einsparmaßnahmen</t>
  </si>
  <si>
    <t>Data PV</t>
  </si>
  <si>
    <t>Data Wind</t>
  </si>
  <si>
    <t>Graphiken</t>
  </si>
  <si>
    <t>Betriebsergebnis jährlich nach Steuern in US$</t>
  </si>
  <si>
    <t>Betriebsergebnis kummuliert nach Steuern in US$</t>
  </si>
  <si>
    <t>DSCR-Verlauf im Basisfall und unter den Annahmen der Sensitivitätsberechnung</t>
  </si>
  <si>
    <t>Sensitivität der Amortisationszeit</t>
  </si>
  <si>
    <t>Amortisationszeit versus Veränderung der Einnahmen</t>
  </si>
  <si>
    <t>Amortisationszeit in Jahren</t>
  </si>
  <si>
    <t>% Veränderung</t>
  </si>
  <si>
    <t>Sensitivität des Kapitalwerts</t>
  </si>
  <si>
    <t>Kapitalwert in Abhängigkeit der Veränderung der Subventionen</t>
  </si>
  <si>
    <t>Kapitalwert in US$</t>
  </si>
  <si>
    <t>Kapitalwert in Abhängigkeit der Veränderung der Investitionskosten</t>
  </si>
  <si>
    <r>
      <t>Kapitalwert</t>
    </r>
    <r>
      <rPr>
        <sz val="10"/>
        <color indexed="8"/>
        <rFont val="Calibri"/>
        <family val="2"/>
      </rPr>
      <t xml:space="preserve"> in US$</t>
    </r>
  </si>
  <si>
    <t>Kapitalwert in Abhängigkeit des Abzinsungsfaktors</t>
  </si>
  <si>
    <t>Dia Sensitivität</t>
  </si>
  <si>
    <t>%Veränderung</t>
  </si>
  <si>
    <t>Jährliche Einnahmen aus dem Stromverkauf</t>
  </si>
  <si>
    <t>angepasst Einnahmen aus Stromverkauf</t>
  </si>
  <si>
    <t>Veränderung der jährlichen Einnahmen</t>
  </si>
  <si>
    <t>Veränderung der jährlichen Instandhaltung und Reparaturkosten</t>
  </si>
  <si>
    <t>Kredit Ausgangsdaten</t>
  </si>
  <si>
    <t>Maßnahme Beleuchtung</t>
  </si>
  <si>
    <t>Einsparung kWh/a</t>
  </si>
  <si>
    <t>Anteil Tagstrom</t>
  </si>
  <si>
    <t>Einsparung Tagstrom</t>
  </si>
  <si>
    <t>Einsparung Nachtstrom</t>
  </si>
  <si>
    <t>Preis Tagstrom</t>
  </si>
  <si>
    <t>Preis Nachtstrom</t>
  </si>
  <si>
    <t>Abschlag in %</t>
  </si>
  <si>
    <t>Angesetzt</t>
  </si>
  <si>
    <t>Sensitivität des Kapitalwerts in Abhängigkeit der Investitionskosten</t>
  </si>
  <si>
    <t>Sensitivität des Kapitalwerts in Abhängigkeit der Abzinsungsrate</t>
  </si>
  <si>
    <t>Sensitivität des Kapitalwerts in Abhängigkeit der Zuschüsse</t>
  </si>
  <si>
    <t>neue Kosten</t>
  </si>
  <si>
    <t>neuer Kapitalwert</t>
  </si>
  <si>
    <t>jährliche Kosten für Wartung und Instandhaltung</t>
  </si>
  <si>
    <t>Cashflow angepasst oder korrigiert</t>
  </si>
  <si>
    <t>Sonstige Einnahmen pro Jahr</t>
  </si>
  <si>
    <t>Amortisationszeit versus Kostenveränderung für Reparatur und Instandhaltung</t>
  </si>
  <si>
    <t>Interner Zinsfuß (bezogen auf Eigenkapital)</t>
  </si>
  <si>
    <t>Inversión</t>
  </si>
  <si>
    <t>Subsidios al Inicio del Proyecto</t>
  </si>
  <si>
    <t>Liquidez al Inicio del Proyecto</t>
  </si>
  <si>
    <t>Costos Totales</t>
  </si>
  <si>
    <t>Costos de Operación y Mantenimiento</t>
  </si>
  <si>
    <t>Costos de Personal</t>
  </si>
  <si>
    <t>Costos Administrativos</t>
  </si>
  <si>
    <t>Tasa de Endeudamiento</t>
  </si>
  <si>
    <t>Tasa de Interés</t>
  </si>
  <si>
    <t>Desembolso del Credito (en %)</t>
  </si>
  <si>
    <t>Tasa de Descuento (%)</t>
  </si>
  <si>
    <t>Inflación (%)</t>
  </si>
  <si>
    <t>Impuestos</t>
  </si>
  <si>
    <t>Tasa de Impuestos (%)</t>
  </si>
  <si>
    <t>Utilidad libre de Impuestos</t>
  </si>
  <si>
    <t>Variante (sensibilidad)</t>
  </si>
  <si>
    <t>Valor Presente Neto</t>
  </si>
  <si>
    <t>Resultados</t>
  </si>
  <si>
    <t>Variante de Sensibilidad</t>
  </si>
  <si>
    <t>Resumen de Resultados</t>
  </si>
  <si>
    <t>Utilidad Acumulada Valores de Salida</t>
  </si>
  <si>
    <t>DSCR de Valores Iniciales</t>
  </si>
  <si>
    <t>Dia Sensibilidad</t>
  </si>
  <si>
    <t>Sensibilidad del Periodo de Amortización</t>
  </si>
  <si>
    <t>Periodo de Amortización vs. Variación de Ingresos</t>
  </si>
  <si>
    <t>Periodo de Amortización en Años</t>
  </si>
  <si>
    <t>% Variación</t>
  </si>
  <si>
    <t>Valor Presente Neto en US$</t>
  </si>
  <si>
    <t>Duración del Proyecto (años)</t>
  </si>
  <si>
    <t>Tasa de Impuesto (%)</t>
  </si>
  <si>
    <t>Años</t>
  </si>
  <si>
    <t>Reembolso</t>
  </si>
  <si>
    <t>Liquidez y DSCR (Índice de Cobertura de Servicio de Deuda)</t>
  </si>
  <si>
    <t>dividendos a los accionistas en% sobre el capital propio de inversión</t>
  </si>
  <si>
    <t>(Índice de Cobertura de Servicio de Deuda)</t>
  </si>
  <si>
    <t>Criterio DSCR (Índice de Cobertura de Servicio de Deuda)&gt; 1,x cumple?</t>
  </si>
  <si>
    <t>Tasa Interna de Retorno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</si>
  <si>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</si>
  <si>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</si>
  <si>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</si>
  <si>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</si>
  <si>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</si>
  <si>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</si>
  <si>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</si>
  <si>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</si>
  <si>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</si>
  <si>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</si>
  <si>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</si>
  <si>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</si>
  <si>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Sensibilidad del Valor Presente Neto en función de la Tasa de Descuento</t>
  </si>
  <si>
    <t>Valor Presente Neto en función de los Subsidios</t>
  </si>
  <si>
    <t>% Cambio</t>
  </si>
  <si>
    <t>Crédito 1 y Crédito 2</t>
  </si>
  <si>
    <t>Tipo:</t>
  </si>
  <si>
    <t>Inicio:</t>
  </si>
  <si>
    <t>Fechas</t>
  </si>
  <si>
    <t>Valor</t>
  </si>
  <si>
    <t>Medidas Hidráulicas</t>
  </si>
  <si>
    <t>Estimado</t>
  </si>
  <si>
    <t>Bezugspreis (Tarif)</t>
  </si>
  <si>
    <t>Anteil Eigenstromverbrauch</t>
  </si>
  <si>
    <t>Stromertrag (kWh/a)</t>
  </si>
  <si>
    <t>Summe Erlös Anlage (US$/a)</t>
  </si>
  <si>
    <t>rot</t>
  </si>
  <si>
    <t>blau</t>
  </si>
  <si>
    <t>Erfahrungswerte</t>
  </si>
  <si>
    <t>Capacity factor</t>
  </si>
  <si>
    <t>Messlatte</t>
  </si>
  <si>
    <t>PV</t>
  </si>
  <si>
    <t>Wind</t>
  </si>
  <si>
    <t>Differenz jährliche Kosten u. Einnahmen (Mehrausgaben)</t>
  </si>
  <si>
    <t>Vermiedener Strombezug</t>
  </si>
  <si>
    <t>Bezugspreis Strom</t>
  </si>
  <si>
    <t>Mehrverbrauch BHKW</t>
  </si>
  <si>
    <t>Verdrängter Energieeinsatz Kessel</t>
  </si>
  <si>
    <t>Wärmeerzeugung BHKW</t>
  </si>
  <si>
    <t>Stromerzeugung</t>
  </si>
  <si>
    <t>Wirkungsrad ges.</t>
  </si>
  <si>
    <t>h</t>
  </si>
  <si>
    <t>Vollaststunden</t>
  </si>
  <si>
    <t>Anteil Eigenverbrauch</t>
  </si>
  <si>
    <t>Brennstoffkosten</t>
  </si>
  <si>
    <t xml:space="preserve">Restwert </t>
  </si>
  <si>
    <t>Berechnung Amortisationszeit</t>
  </si>
  <si>
    <t>Betriebsergebnis nach Steuer plus Abschreibung (cashflow)</t>
  </si>
  <si>
    <t>Akumulierter Cashflow</t>
  </si>
  <si>
    <t>Cashflow abgezinst</t>
  </si>
  <si>
    <t>Akumulierter Cashflow (abgezinst)</t>
  </si>
  <si>
    <t>Monat Amortisationszeit</t>
  </si>
  <si>
    <t>Energieeffizienz</t>
  </si>
  <si>
    <t>Inputdaten</t>
  </si>
  <si>
    <t>Einfache Amortisationszeit</t>
  </si>
  <si>
    <t>Variante</t>
  </si>
  <si>
    <t>Projekt:</t>
  </si>
  <si>
    <t>Installierte Leistung</t>
  </si>
  <si>
    <t>vor Sanierung</t>
  </si>
  <si>
    <t>nach Sanierung</t>
  </si>
  <si>
    <t>Installierte Anschlußleistung pro Leuchte</t>
  </si>
  <si>
    <t>Watt</t>
  </si>
  <si>
    <t>Anzahl Leuchten</t>
  </si>
  <si>
    <t>Benutzungsstunden pro Jahr</t>
  </si>
  <si>
    <t>h/a</t>
  </si>
  <si>
    <t>Investitionskosten pro Leuchte (LED statt Leuchtstofflampe)</t>
  </si>
  <si>
    <t>Lebensdauer Lampe</t>
  </si>
  <si>
    <t xml:space="preserve">Arbeitskosten für Instandhaltung </t>
  </si>
  <si>
    <t>Arbeitskosten für Erstinstallation</t>
  </si>
  <si>
    <t>Erlöse aus Stromverkauf und Stromeinsparung</t>
  </si>
  <si>
    <t>Inflationsrate (Preissteigerung Wartungskosten)</t>
  </si>
  <si>
    <t>Inflationsrate (Steigerung Wartungskosten)</t>
  </si>
  <si>
    <t>Summe Wartungskosten</t>
  </si>
  <si>
    <t>Investitionskosten (ohne Planung u. Reserve)</t>
  </si>
  <si>
    <t>Lebensdauer</t>
  </si>
  <si>
    <t>a</t>
  </si>
  <si>
    <t>US$/Lampe</t>
  </si>
  <si>
    <t>Gasinput BHKW pro Jahr</t>
  </si>
  <si>
    <t>Bezugspreis Gas natural</t>
  </si>
  <si>
    <t>Mehrkosten Gas-Bezug</t>
  </si>
  <si>
    <t xml:space="preserve"> </t>
  </si>
  <si>
    <t>CAPEX</t>
  </si>
  <si>
    <t>Tarif für den Verkauf des Stroms</t>
  </si>
  <si>
    <t>Jährliche Steigerung des Verkaufspreises in %</t>
  </si>
  <si>
    <t>Jährliche Steigerung Bezugstarif in %</t>
  </si>
  <si>
    <t>Einheit</t>
  </si>
  <si>
    <t>Wert</t>
  </si>
  <si>
    <t>Jährliche Pacht</t>
  </si>
  <si>
    <t>Erlös / Einsparung durch Eigenverbrauch (US$/a)</t>
  </si>
  <si>
    <t>Erlös Einspeisung / Stromverkauf (US$/a)</t>
  </si>
  <si>
    <t>Summe variable jährliche Kosten</t>
  </si>
  <si>
    <t>Personal- und Verwaltungskosten</t>
  </si>
  <si>
    <t>Einnahmen durch Stromverkauf oder -Einsparung</t>
  </si>
  <si>
    <t>Sporadische Kosten (z.B. Erneuerung Wechselrichter)</t>
  </si>
  <si>
    <t>Windenergie</t>
  </si>
  <si>
    <t>Volllaststunden</t>
  </si>
  <si>
    <t>Steuerberater</t>
  </si>
  <si>
    <t>Cogeneration</t>
  </si>
  <si>
    <t>Vermiedener Strombezug kWh</t>
  </si>
  <si>
    <t>Einspeisung ins Netz kWh</t>
  </si>
  <si>
    <t>Installierte Leistung BHKW el</t>
  </si>
  <si>
    <t>Installierte Leistung BHKW th</t>
  </si>
  <si>
    <t>Wirkungsrad elektrisch</t>
  </si>
  <si>
    <t>Wirkungsrad thermisch</t>
  </si>
  <si>
    <t>Wirkungsgrad konventionelle Heizung</t>
  </si>
  <si>
    <t>Jährliche Steigerung Bezugstarif in Stom u. Wärme</t>
  </si>
  <si>
    <t>Jährliche Degradation der Strom- und Wärmeerzeurung</t>
  </si>
  <si>
    <t>Preisensteigerung Wärme/Brennstoff</t>
  </si>
  <si>
    <t>Sporadische Kosten (z.B. Erneuerung Teilkomponente)</t>
  </si>
  <si>
    <t>Sonstiges z.B. Betriebsmittel</t>
  </si>
  <si>
    <t>Variable Kosten (Wartung / Betriebsmittel)</t>
  </si>
  <si>
    <t>kWh</t>
  </si>
  <si>
    <t>Erlös / Einsparung durch vermiedene Strombezugskosten</t>
  </si>
  <si>
    <t>Erlös Einspeisung / Stromverkauf</t>
  </si>
  <si>
    <t>Summe Erlös Anlage</t>
  </si>
  <si>
    <t>Mehrkosten Brennstoff</t>
  </si>
  <si>
    <t>Sporadische Kosten (z.B. Erneuerung Komponenten)</t>
  </si>
  <si>
    <t>Variable Kosten (Wartung / Betriebmittel)</t>
  </si>
  <si>
    <t>Sonstiges (z.B. Betriebsmittel)</t>
  </si>
  <si>
    <t xml:space="preserve">h </t>
  </si>
  <si>
    <t>Beleuchtung</t>
  </si>
  <si>
    <t>USD/a</t>
  </si>
  <si>
    <t>Annuitätendarlehen - Quotas anuales constantes</t>
  </si>
  <si>
    <t>Fixe Tilgungsrate - Tasa de reembolso fija</t>
  </si>
  <si>
    <t>Energy efficiency</t>
  </si>
  <si>
    <t>Español</t>
  </si>
  <si>
    <t>Spezifische Investitionskosten</t>
  </si>
  <si>
    <t>Jährliche Degradation der Stromerzeugung</t>
  </si>
  <si>
    <t>hoch</t>
  </si>
  <si>
    <t>mittel</t>
  </si>
  <si>
    <t>Energía eolica</t>
  </si>
  <si>
    <t>Data Cogeneration</t>
  </si>
  <si>
    <t>BHKW Kraft-Wärme-Kopplung</t>
  </si>
  <si>
    <t>Cogeneración</t>
  </si>
  <si>
    <t>Arriendo</t>
  </si>
  <si>
    <t>Financiamiento</t>
  </si>
  <si>
    <t xml:space="preserve">Capital Propio </t>
  </si>
  <si>
    <t>Parámetros</t>
  </si>
  <si>
    <t>Utilidad Anual Escenario Base</t>
  </si>
  <si>
    <t>Utilidad Anual Escenario Sensibilidad</t>
  </si>
  <si>
    <t>Utilidad Acumulada Después de Impuestos (US$)</t>
  </si>
  <si>
    <t>Periodo de Amortización vs. Variación de Costos para Mantención y Reparación</t>
  </si>
  <si>
    <t>Valor Presente Neto en Función de la Variación de los Subsidios</t>
  </si>
  <si>
    <t>Sensibilidad del Valor Presente Neto en Función de los Costos de Inversión</t>
  </si>
  <si>
    <t>Valor Presente Neto en Función de la Tasa de Descuento</t>
  </si>
  <si>
    <t>$/Mes</t>
  </si>
  <si>
    <t>$/Año</t>
  </si>
  <si>
    <t>Costos Anuales</t>
  </si>
  <si>
    <t>Número de Personas Tiempo Completo</t>
  </si>
  <si>
    <t>Total Costos Personal</t>
  </si>
  <si>
    <t>Arriendo Oficina</t>
  </si>
  <si>
    <t>Costos Administrativos e Insumos</t>
  </si>
  <si>
    <t>Costo Categoría 1</t>
  </si>
  <si>
    <t>Costo Categoría 2</t>
  </si>
  <si>
    <t>Costo Categoría 3</t>
  </si>
  <si>
    <t>Costo Categoría 4</t>
  </si>
  <si>
    <t>Costo Categoría 5</t>
  </si>
  <si>
    <t>Costo Categoría 6</t>
  </si>
  <si>
    <t>Otros Costos</t>
  </si>
  <si>
    <t>Total Costos Administrativos</t>
  </si>
  <si>
    <t>Obras Civiles ($/Mes)</t>
  </si>
  <si>
    <t>Nombre del Proyecto</t>
  </si>
  <si>
    <t>Tasa de Inflación (%)</t>
  </si>
  <si>
    <t>Liquidez Mínima</t>
  </si>
  <si>
    <t>Desempeño DSCR en Caso Base y Bajo Supuestos de Cálculo de Sensibilidad</t>
  </si>
  <si>
    <t>Salario Posición 1 ($/Mes por persona)</t>
  </si>
  <si>
    <t>Salario Posición 2 ($/Mes por persona)</t>
  </si>
  <si>
    <t>Salario Posición 3 ($/Mes por persona)</t>
  </si>
  <si>
    <t>Salario Posición 4 ($/Mes por persona)</t>
  </si>
  <si>
    <t>Salario Posición 5 ($/Mes por persona)</t>
  </si>
  <si>
    <t>Otros Costos de Personal ($/Mes)</t>
  </si>
  <si>
    <t>Utilidad Libre de Impuestos</t>
  </si>
  <si>
    <t>Costos Iniciales (1er Año)</t>
  </si>
  <si>
    <t>Valor Residual (después de vida útil)</t>
  </si>
  <si>
    <t>Ingresos por Venta/Ahorro Electricidad</t>
  </si>
  <si>
    <t>Tasa Interés Crédito (%)</t>
  </si>
  <si>
    <t>Tasa Interés después de Periodo Tasa Fija</t>
  </si>
  <si>
    <t>Mes Inicio Crédito</t>
  </si>
  <si>
    <t xml:space="preserve">Pago  </t>
  </si>
  <si>
    <t>Costos Operativos</t>
  </si>
  <si>
    <t>Total Costos Operativos</t>
  </si>
  <si>
    <t>Costos de Mantención</t>
  </si>
  <si>
    <t>Otros Gastos (Impuestos, Honorarios, Seguros)</t>
  </si>
  <si>
    <t xml:space="preserve">Arriendo  </t>
  </si>
  <si>
    <t>Inicio Reembolso</t>
  </si>
  <si>
    <t>Periodo de Reembolso</t>
  </si>
  <si>
    <t>Amortización/Reembolso</t>
  </si>
  <si>
    <t>Tasa de Reembolso</t>
  </si>
  <si>
    <t>Plazo Crédito (en Años)</t>
  </si>
  <si>
    <t>Numero de Años con Tasa Fija de Interés</t>
  </si>
  <si>
    <t>Sin Cuotas Crediticias</t>
  </si>
  <si>
    <t>Costos Desarrollo Proyecto</t>
  </si>
  <si>
    <t>Total Gastos Financieros</t>
  </si>
  <si>
    <t>Otros Ingresos (Costos Conexión, etc)</t>
  </si>
  <si>
    <t>Subvenciones</t>
  </si>
  <si>
    <t>Valor Residual (Después de Vida Útil)</t>
  </si>
  <si>
    <t>Total Ingresos</t>
  </si>
  <si>
    <t>Impuestos (%) sobre Utilidades</t>
  </si>
  <si>
    <t>Resultado Operacional después de Impuestos</t>
  </si>
  <si>
    <t>Resultado Operacional antes de Impuestos</t>
  </si>
  <si>
    <t>Resultado Operacional Acumulado después de Impuestos</t>
  </si>
  <si>
    <t>Resultado Operacional Descontado después de Impuestos</t>
  </si>
  <si>
    <t>Resultado Operacional Descontado y Acumulado después de Impuestos</t>
  </si>
  <si>
    <t>Liquidez (Final de Año)</t>
  </si>
  <si>
    <t>Dividendo a Accionistas en % sobre Capital Propio</t>
  </si>
  <si>
    <t>Flujo de Caja (Considerando Costos sin Efecto sobre la Liquidez)</t>
  </si>
  <si>
    <t>Periodo Amortización Sencillo</t>
  </si>
  <si>
    <t>Periodo Amortazión Descontado</t>
  </si>
  <si>
    <t>Valor Nuevo</t>
  </si>
  <si>
    <t>Análisis de Sensibilidad: Poner "1" en escenario deseado</t>
  </si>
  <si>
    <t>Curva DSCR en Caso Base y bajo Supuestos de Análisis de Sensibilidad</t>
  </si>
  <si>
    <t>Los valores se derivan de los valores iniciales y se ajustan de acuerdo a los factores de la "sensibilidad de entrada".</t>
  </si>
  <si>
    <t>Sensibilidad del Valor Presente Neto en función de los Costos de Inversión</t>
  </si>
  <si>
    <t>Costos Nuevos</t>
  </si>
  <si>
    <t>Ingresos Ajustados por Venta de Electricidad</t>
  </si>
  <si>
    <t>Variación de los Ingresos Anuales</t>
  </si>
  <si>
    <t xml:space="preserve">Costos Anuales de Mantención y Reparación </t>
  </si>
  <si>
    <t>Variación de los Costos Anuales de Mantención y Reparación</t>
  </si>
  <si>
    <t>Información Inicial del Crédito</t>
  </si>
  <si>
    <t>Servicio de Deuda</t>
  </si>
  <si>
    <t>Comprobar</t>
  </si>
  <si>
    <t>Con Efecto Sobre la Liquidez</t>
  </si>
  <si>
    <t>Sin Efecto Sobre la Liquidez</t>
  </si>
  <si>
    <t xml:space="preserve">Nuevo Valor Presente Neto </t>
  </si>
  <si>
    <t>Monto del Préstamo</t>
  </si>
  <si>
    <t>Tasa de Interés Nominal</t>
  </si>
  <si>
    <t>Término Tasa Fija de Interés:</t>
  </si>
  <si>
    <t>Después de Tasa Fija de Interés:</t>
  </si>
  <si>
    <t>Mes:</t>
  </si>
  <si>
    <t>Valor de Cuota al Término del Periodo con Tasa de Interés Fija</t>
  </si>
  <si>
    <t>Puesta en Marcha:</t>
  </si>
  <si>
    <t>Préstamo Neto:</t>
  </si>
  <si>
    <t>Días de Interés Anual</t>
  </si>
  <si>
    <t>Fin de Reembolso Crédito</t>
  </si>
  <si>
    <t xml:space="preserve">Fechas de Reembolso  </t>
  </si>
  <si>
    <t>Fechas Pago Intereses</t>
  </si>
  <si>
    <t>Plan de Pago de Cuotas de Crédito/Intereses</t>
  </si>
  <si>
    <t>Fecha</t>
  </si>
  <si>
    <t>Interés</t>
  </si>
  <si>
    <t>Análisis de Sensibilidad Crédito</t>
  </si>
  <si>
    <t>Medidas de Ahorro</t>
  </si>
  <si>
    <t>Visión General sobre Medidas de Eficiencia y Ahorro de Costos Energéticos para Cálculo de Rentabilidades</t>
  </si>
  <si>
    <t>Medidas Ventilación</t>
  </si>
  <si>
    <t>Medidas Iluminación</t>
  </si>
  <si>
    <t>Área Eléctrica</t>
  </si>
  <si>
    <t>Suma Área Eléctrica</t>
  </si>
  <si>
    <t>Medidas Calefacción</t>
  </si>
  <si>
    <t>Instalación Nuevas Calderas</t>
  </si>
  <si>
    <t>Suma Área Hidráulica</t>
  </si>
  <si>
    <t>Inversion Total Medidas de Ahorro (eléctrica, calefacción e hidráulicas)</t>
  </si>
  <si>
    <t>Costos Planificación</t>
  </si>
  <si>
    <t>Costos Planificación (%)</t>
  </si>
  <si>
    <t>Inversión Total Medidas de Ahorro incluyendo Costos Planificación</t>
  </si>
  <si>
    <t>Contingencias (%)</t>
  </si>
  <si>
    <t>Contingencias en US$</t>
  </si>
  <si>
    <t xml:space="preserve">Otros Costos de Inversión </t>
  </si>
  <si>
    <t xml:space="preserve">Inversión  </t>
  </si>
  <si>
    <t>Ahorro kWh/a</t>
  </si>
  <si>
    <t>Ahorro</t>
  </si>
  <si>
    <t>Consumo Eléctrico Diurno (%)</t>
  </si>
  <si>
    <t>Ahorro Consumo Eléctrico Diurno</t>
  </si>
  <si>
    <t>Ahorro Consumo Eléctrico Nocturno</t>
  </si>
  <si>
    <t>Precio Electricidad Día</t>
  </si>
  <si>
    <t>Precio Electricidad Noche</t>
  </si>
  <si>
    <t>Esperado</t>
  </si>
  <si>
    <t>Cuota Bancaria</t>
  </si>
  <si>
    <t>Ahorro de Potencia</t>
  </si>
  <si>
    <t>Precio Trabajo</t>
  </si>
  <si>
    <t>Precio Potencia</t>
  </si>
  <si>
    <t>Ahorro Calefacción</t>
  </si>
  <si>
    <t>Precio</t>
  </si>
  <si>
    <t>Ahorro Agua</t>
  </si>
  <si>
    <t>Evolución Precio Electricidad</t>
  </si>
  <si>
    <t xml:space="preserve">Evolución Precio Calefacción </t>
  </si>
  <si>
    <t>Evolución Precio Agua</t>
  </si>
  <si>
    <t>Evolución General de Precios</t>
  </si>
  <si>
    <t>Ahorro Costos Energéticos</t>
  </si>
  <si>
    <t>Ahorro Costos Electricidad</t>
  </si>
  <si>
    <t>Ahorro Costos Calefacción</t>
  </si>
  <si>
    <t>Ahorro Costos Agua</t>
  </si>
  <si>
    <t>Total Ahorro</t>
  </si>
  <si>
    <t>Costo Anual Medidas Eléctricas</t>
  </si>
  <si>
    <t>Costo Anual Medidas Calefacción</t>
  </si>
  <si>
    <t>Costo Anual Medidas Agua</t>
  </si>
  <si>
    <t>Información Fotovoltaica</t>
  </si>
  <si>
    <t>Valor Referencial</t>
  </si>
  <si>
    <t>Alto</t>
  </si>
  <si>
    <t>Medio</t>
  </si>
  <si>
    <t>Bajo</t>
  </si>
  <si>
    <t>Capacidad Instalada</t>
  </si>
  <si>
    <t>Costos de Inversión Específicos</t>
  </si>
  <si>
    <t>Factor de Capacidad</t>
  </si>
  <si>
    <t>Vida Útil</t>
  </si>
  <si>
    <t>Precio de Compra</t>
  </si>
  <si>
    <t>Incremento Anual Precio Compra %</t>
  </si>
  <si>
    <t>Incremento Anual Precio Venta %</t>
  </si>
  <si>
    <t>Tasa de Inflación (Incremento Costos Mantención)</t>
  </si>
  <si>
    <t>Arriendo Anual</t>
  </si>
  <si>
    <t>Seguros</t>
  </si>
  <si>
    <t>Contador</t>
  </si>
  <si>
    <t>Otros (ej. Insumos operacionales)</t>
  </si>
  <si>
    <t>Suma Costos Variables Anuales</t>
  </si>
  <si>
    <t>Costos Variables (Mantención, insumos)</t>
  </si>
  <si>
    <t>Degradación Anual de Producción</t>
  </si>
  <si>
    <t>Capacidad Eléctrica Instalada</t>
  </si>
  <si>
    <t>Capacidad Térmica Instalada</t>
  </si>
  <si>
    <t xml:space="preserve">Costos de Inversión  </t>
  </si>
  <si>
    <t>Producción Electricidad</t>
  </si>
  <si>
    <t>Eficiencia Total</t>
  </si>
  <si>
    <t>Eficiencia Eléctrica</t>
  </si>
  <si>
    <t>Eficiencia Térmica</t>
  </si>
  <si>
    <t>Eficiencia Estufa Convencional</t>
  </si>
  <si>
    <t>Precio Compra Electricidad</t>
  </si>
  <si>
    <t>Precio Compra Gas Natural</t>
  </si>
  <si>
    <t>Precio Venta Electricidad</t>
  </si>
  <si>
    <t>Incremento Anual Precio Compra Combustibles</t>
  </si>
  <si>
    <t>% Electricidad Uso Propio</t>
  </si>
  <si>
    <t>% Uso Propio</t>
  </si>
  <si>
    <t>Costos Mantención</t>
  </si>
  <si>
    <t>Diferencia Costos-Ingresos</t>
  </si>
  <si>
    <t>Costos Esporádicos (ej. Cambio Componente)</t>
  </si>
  <si>
    <t>Costos Personal</t>
  </si>
  <si>
    <t>Unidad</t>
  </si>
  <si>
    <t xml:space="preserve">Degradación Anual de Producción </t>
  </si>
  <si>
    <t>Información Eólica</t>
  </si>
  <si>
    <t>Información Cogeneración</t>
  </si>
  <si>
    <t>Ingreso/Ahorro Consumo Propio (US$/a)</t>
  </si>
  <si>
    <t>Ingreso por Inyección a Red/Venta Electricidad (US$/a)</t>
  </si>
  <si>
    <t>Producción Electricidad (kWh/a)</t>
  </si>
  <si>
    <t>Inyección a la Red kWh</t>
  </si>
  <si>
    <t xml:space="preserve">Ingreso/Ahorro  </t>
  </si>
  <si>
    <t>Necesidad Anual de Gas KWK</t>
  </si>
  <si>
    <t>Producción Energía Térmica KWK</t>
  </si>
  <si>
    <t xml:space="preserve"> Disminución Energía Uso Calderas</t>
  </si>
  <si>
    <t>Aumento Uso KWK</t>
  </si>
  <si>
    <t>Aumento Costos Gas</t>
  </si>
  <si>
    <t>Disminución Uso Electricidad</t>
  </si>
  <si>
    <t>Disminución Uso Electricidad kWh</t>
  </si>
  <si>
    <t>Aumento Costo Combustibles</t>
  </si>
  <si>
    <t>años</t>
  </si>
  <si>
    <t>Horas Funcionamiento (Factor Capacidad x 8.760h)</t>
  </si>
  <si>
    <t>Results</t>
  </si>
  <si>
    <t>% Financiamiento con Crédito</t>
  </si>
  <si>
    <t>Costos RRHH</t>
  </si>
  <si>
    <t>Costos Combustible</t>
  </si>
  <si>
    <t>Provisiones para Desmantelamiento (% de la Inversion)</t>
  </si>
  <si>
    <t>Plazo Crédito (en años)</t>
  </si>
  <si>
    <t>Años con Tasa fija de Interés</t>
  </si>
  <si>
    <t>Tipo Crédito</t>
  </si>
  <si>
    <t>Mes Inicio del Credito</t>
  </si>
  <si>
    <t>Año Inicio Proyecto</t>
  </si>
  <si>
    <t>Periodo Amortización Simple</t>
  </si>
  <si>
    <t>Periodo Amortización con Valores Descontados</t>
  </si>
  <si>
    <t>Gráficos</t>
  </si>
  <si>
    <t>Utilidad Anual Después de Impuestos (US$)</t>
  </si>
  <si>
    <t>Utilidad Acumulada Método Cálculo de Variantes</t>
  </si>
  <si>
    <t>DSCR Método Cálculo de Sensibilidad</t>
  </si>
  <si>
    <t>Sensibilidad Periodo de Amortización</t>
  </si>
  <si>
    <t>Periodo de Amortización (años)</t>
  </si>
  <si>
    <t>Sensibilidad Valor Presente Neto</t>
  </si>
  <si>
    <t>Compilación Costos</t>
  </si>
  <si>
    <t>Depreciación Equipos/Planta</t>
  </si>
  <si>
    <t>Vida Util Equipos/Planta (en años)</t>
  </si>
  <si>
    <t>Suma Ingresos Equipo/Planta (US$/a)</t>
  </si>
  <si>
    <t>Suma Ingreso Equipos/Planta</t>
  </si>
  <si>
    <t>Incremento Precio Energía (%)</t>
  </si>
  <si>
    <t>Vida Útil Equipos/Planta (en años)</t>
  </si>
  <si>
    <t>Provisiones para Desmantelamiento (Costo por Años de Vida Util -1 Año)</t>
  </si>
  <si>
    <t>Tasa Endeudamiento</t>
  </si>
  <si>
    <t>Tipo Préstamo</t>
  </si>
  <si>
    <t>Provisiones Desmantelamiento</t>
  </si>
  <si>
    <t>Necesidad Liquidez al Inicio del Proyecto</t>
  </si>
  <si>
    <t>Costos Financiamiento</t>
  </si>
  <si>
    <t>Ahorro en Combustibles/Electricidad (ver hoja)</t>
  </si>
  <si>
    <t>Proyecto:</t>
  </si>
  <si>
    <t>Lebensdauer der Massnahmen</t>
  </si>
  <si>
    <t>Tiempo de Amortización</t>
  </si>
  <si>
    <t>Flujo de Caja Ajustado/Corregido</t>
  </si>
  <si>
    <t>Resultado Operacional después de Impuestos más Depreciación (Flujo de Caja)</t>
  </si>
  <si>
    <t>Flujo de Caja Acumulado</t>
  </si>
  <si>
    <t>Flujo de Caja (Después de Intereses)</t>
  </si>
  <si>
    <t>Flujo de Caja Acumulado (Después de Intereses)</t>
  </si>
  <si>
    <t>Tiempo de Amortización Mensual</t>
  </si>
  <si>
    <t>Cálculo Tiempo Amortización</t>
  </si>
  <si>
    <t>Eficiencia Energética</t>
  </si>
  <si>
    <t>Área Térmica</t>
  </si>
  <si>
    <t>Suma Costos Mantención</t>
  </si>
  <si>
    <t>Iluminación</t>
  </si>
  <si>
    <t>Cantidad Focos Luz</t>
  </si>
  <si>
    <t>Potencia Instalada por Foco de Luz</t>
  </si>
  <si>
    <t>Horas Uso Anual</t>
  </si>
  <si>
    <t>Costos Instalación Inicial</t>
  </si>
  <si>
    <t>Costos Inversión (sin Planificación y Reserva)</t>
  </si>
  <si>
    <t>Antes de Saneamiento</t>
  </si>
  <si>
    <t>Después de Saneamiento</t>
  </si>
  <si>
    <t>US$/Foco Luz</t>
  </si>
  <si>
    <t>Vida Útil Foco Luz</t>
  </si>
  <si>
    <t>Datos Base</t>
  </si>
  <si>
    <t>Valor Inicial</t>
  </si>
  <si>
    <t>Anfängliche Liquidität</t>
  </si>
  <si>
    <t>Liquidez al inicio</t>
  </si>
  <si>
    <t>Wärmedämmung</t>
  </si>
  <si>
    <t>Amortisationszeit bei abgezinsten Ein- und Ausgaben</t>
  </si>
  <si>
    <t>Cashflow vor Tilgung</t>
  </si>
  <si>
    <t>Cashflow nach Tilgung</t>
  </si>
  <si>
    <t>Cashflow ohne Finanzierung</t>
  </si>
  <si>
    <t>Kapitalwert bezogen auf gesamte Investition</t>
  </si>
  <si>
    <t>IKV</t>
  </si>
  <si>
    <t>Schuldendienst (Zins und Tilgung)</t>
  </si>
  <si>
    <t>Kapitalwert (Gesamtinvestition)</t>
  </si>
  <si>
    <t>Capacidad Instalada [kW]</t>
  </si>
  <si>
    <t>Installierte Leistung [kW]</t>
  </si>
  <si>
    <t>Investitionskosten [USD]</t>
  </si>
  <si>
    <t>Costos de Inversión [USD]</t>
  </si>
  <si>
    <t>Projektlaufzeit [a]</t>
  </si>
  <si>
    <t>Duración del Proyecto [a]</t>
  </si>
  <si>
    <t>Einspeisepreis [USD/kWh]</t>
  </si>
  <si>
    <t>Precio Inyección a Red [USD/kWh]</t>
  </si>
  <si>
    <t>Eigenverbrauchsanteil %</t>
  </si>
  <si>
    <t>Degradation Produktion [%/a]</t>
  </si>
  <si>
    <t>Degradación Anual de Producción [%/a]</t>
  </si>
  <si>
    <t>Abzinsfaktor [%]</t>
  </si>
  <si>
    <t>Tasa de Descuento [%]</t>
  </si>
  <si>
    <t>Gewinnsteuer [%]</t>
  </si>
  <si>
    <t>Impuesto a la Utilidad [%]</t>
  </si>
  <si>
    <t>Betriebskosten [USD/a]</t>
  </si>
  <si>
    <t>Costos Operacionales [USD/a]</t>
  </si>
  <si>
    <t>Anteil Kreditfinanzierung [%]</t>
  </si>
  <si>
    <t>Kreditlaufzeit [a]</t>
  </si>
  <si>
    <t>Plazo Crédito [a]</t>
  </si>
  <si>
    <t>Kreditzins [%]</t>
  </si>
  <si>
    <t>Tasa Interés Crédito [%]</t>
  </si>
  <si>
    <t>Abschreibung angenommen [a]</t>
  </si>
  <si>
    <t>Depreciación Establecida [a]</t>
  </si>
  <si>
    <t>Factor de Capacidad [%]</t>
  </si>
  <si>
    <t>Capacity Factor [%]</t>
  </si>
  <si>
    <t>Jährlicher Ertrag [kWh/a]</t>
  </si>
  <si>
    <t>Vermiedene Strombezugskosten [USD/kWh]</t>
  </si>
  <si>
    <t>Disminución Costos Compra de Energía [USD/kWh]</t>
  </si>
  <si>
    <t>nicht wirtschaftlich</t>
  </si>
  <si>
    <t>Nein</t>
  </si>
  <si>
    <t>No</t>
  </si>
  <si>
    <t xml:space="preserve">Si </t>
  </si>
  <si>
    <t>Ja</t>
  </si>
  <si>
    <t>Costos RRHH y Administrativos</t>
  </si>
  <si>
    <t>Banda de Medición</t>
  </si>
  <si>
    <t>Valor Presente Neto de acuerdo a Inversión Total</t>
  </si>
  <si>
    <t>Flujo de Caja Sin Financiamiento</t>
  </si>
  <si>
    <t>NO Rentable Económicamente</t>
  </si>
  <si>
    <t>Mes(es)</t>
  </si>
  <si>
    <t>Monat/e</t>
  </si>
  <si>
    <t>Costos Esporádicos (ej. Cambio Inversor)</t>
  </si>
  <si>
    <t>ca. 2 % der Investitionskosten</t>
  </si>
  <si>
    <t>approx. 2 % de los costos de inversión</t>
  </si>
  <si>
    <t>Technologie</t>
  </si>
  <si>
    <t>Tecnología</t>
  </si>
  <si>
    <t>Consumo Energía Total</t>
  </si>
  <si>
    <t xml:space="preserve">Ahorro Energía </t>
  </si>
  <si>
    <t>Stromkonsum Gesamt</t>
  </si>
  <si>
    <t>Vida Útil Medidas</t>
  </si>
  <si>
    <t>Ingreso Anual [kWh/a]</t>
  </si>
  <si>
    <t>Costos Inversión Inicial</t>
  </si>
  <si>
    <t>Costos Total</t>
  </si>
  <si>
    <t>Valor Residual</t>
  </si>
  <si>
    <t>Ingresos Venta Energía/Ahorro Energía</t>
  </si>
  <si>
    <t>Otros Ingresos [a]</t>
  </si>
  <si>
    <t>Criterio Índice de Corbertura de Servicio de Deuda</t>
  </si>
  <si>
    <t>Escenario Sensibilidad</t>
  </si>
  <si>
    <t>Input y Resumen de Resultados</t>
  </si>
  <si>
    <t>Input Info General y de Mercado</t>
  </si>
  <si>
    <t>Eólico</t>
  </si>
  <si>
    <t>Incremento Precio Energía</t>
  </si>
  <si>
    <t>Periodo de Gracia (en años)</t>
  </si>
  <si>
    <t>Pago Deuda Bancaria (Reembolso + Intereses)</t>
  </si>
  <si>
    <t>TIR -Tasa Interna de Retorno</t>
  </si>
  <si>
    <t>VPN -Valor Presente Neto</t>
  </si>
  <si>
    <t>Rangos Empíricos</t>
  </si>
  <si>
    <t>Medida T1</t>
  </si>
  <si>
    <t>Medida T2</t>
  </si>
  <si>
    <t>Medida T3</t>
  </si>
  <si>
    <t>Medida T4</t>
  </si>
  <si>
    <t>Medida T5</t>
  </si>
  <si>
    <t>Medida H1</t>
  </si>
  <si>
    <t>Medida H2</t>
  </si>
  <si>
    <t>Medida H3</t>
  </si>
  <si>
    <t>Medida H4</t>
  </si>
  <si>
    <t>Suma Área Térmico</t>
  </si>
  <si>
    <t>Medidas Térmicas</t>
  </si>
  <si>
    <t>Medida I1</t>
  </si>
  <si>
    <t>Medida I2</t>
  </si>
  <si>
    <t>Medida I3</t>
  </si>
  <si>
    <t>Medida I4</t>
  </si>
  <si>
    <t>Área Hidráulica</t>
  </si>
  <si>
    <t>Costos Esporádicos (ej. Recambio piezas)</t>
  </si>
  <si>
    <t xml:space="preserve">Costos Inversión por Foco de Luz </t>
  </si>
  <si>
    <t>Indice de Corbertura Servicio de Deuda</t>
  </si>
  <si>
    <t>Capital Externo</t>
  </si>
  <si>
    <t>Periodo de Gracia</t>
  </si>
  <si>
    <t>Costos Esporádicos</t>
  </si>
  <si>
    <t>Flujo de Caja (antes de reembolso)</t>
  </si>
  <si>
    <t>Flujo de Caja (después de reembolso)</t>
  </si>
  <si>
    <t>Cobro por Gestión/Tramitación</t>
  </si>
  <si>
    <t xml:space="preserve">Costos RRHH </t>
  </si>
  <si>
    <t>TOTAL</t>
  </si>
  <si>
    <t>Financiamiento Escenario Sensibilidad</t>
  </si>
  <si>
    <t>Anual</t>
  </si>
  <si>
    <t>Valor al Término Período Tasa Fija:</t>
  </si>
  <si>
    <t>Plazo:</t>
  </si>
  <si>
    <t>Pago:</t>
  </si>
  <si>
    <t>Anualidad:</t>
  </si>
  <si>
    <t>Cuotas de Reembolso Anuales</t>
  </si>
  <si>
    <t>Financiamiento Escenario Base</t>
  </si>
  <si>
    <t xml:space="preserve">Crédito Tasa Fija </t>
  </si>
  <si>
    <t>Crédito Cuotas Anuales Constantes</t>
  </si>
  <si>
    <t>Costos Inversión Específicos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</si>
</sst>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1" formatCode="_-* #,##0_-;\-* #,##0_-;_-* &quot;-&quot;_-;_-@_-"/>
    <numFmt numFmtId="170" formatCode="#,##0.00\ &quot;€&quot;;[Red]\-#,##0.00\ &quot;€&quot;"/>
    <numFmt numFmtId="173" formatCode="_-* #,##0.00\ &quot;€&quot;_-;\-* #,##0.00\ &quot;€&quot;_-;_-* &quot;-&quot;??\ &quot;€&quot;_-;_-@_-"/>
    <numFmt numFmtId="174" formatCode="_-* #,##0.00\ _€_-;\-* #,##0.00\ _€_-;_-* &quot;-&quot;??\ _€_-;_-@_-"/>
    <numFmt numFmtId="175" formatCode="_(* #,##0.00_);_(* \(#,##0.00\);_(* &quot;-&quot;??_);_(@_)"/>
    <numFmt numFmtId="176" formatCode="0.0%"/>
    <numFmt numFmtId="177" formatCode="#,##0;[Red]#,##0"/>
    <numFmt numFmtId="178" formatCode="#,##0_ ;[Red]\-#,##0\ "/>
    <numFmt numFmtId="179" formatCode="_-* #,##0\ _€_-;\-* #,##0\ _€_-;_-* &quot;-&quot;??\ _€_-;_-@_-"/>
    <numFmt numFmtId="180" formatCode="0.0000"/>
    <numFmt numFmtId="181" formatCode="0.00000"/>
    <numFmt numFmtId="182" formatCode="0.000000"/>
    <numFmt numFmtId="183" formatCode="#,##0.0_ ;[Red]\-#,##0.0\ "/>
    <numFmt numFmtId="184" formatCode="_-* #,##0\ [$€-1]_-;\-* #,##0\ [$€-1]_-;_-* &quot;-&quot;??\ [$€-1]_-"/>
    <numFmt numFmtId="185" formatCode="_-* #,##0.00\ [$€]_-;\-* #,##0.00\ [$€]_-;_-* &quot;-&quot;??\ [$€]_-;_-@_-"/>
    <numFmt numFmtId="186" formatCode="0.0&quot; Jahre fest&quot;"/>
    <numFmt numFmtId="187" formatCode="0.0&quot; Jahre Rest&quot;"/>
    <numFmt numFmtId="188" formatCode="0.0&quot; Jahre&quot;"/>
    <numFmt numFmtId="189" formatCode="0&quot; Tage&quot;"/>
    <numFmt numFmtId="190" formatCode="dd/mm/"/>
    <numFmt numFmtId="191" formatCode="0&quot;. Zinst.&quot;"/>
    <numFmt numFmtId="192" formatCode="0&quot;. Tilg.&quot;"/>
    <numFmt numFmtId="193" formatCode="0_ ;\-0\ "/>
    <numFmt numFmtId="194" formatCode="#,##0_ ;\-#,##0\ "/>
    <numFmt numFmtId="195" formatCode="#.#000%"/>
    <numFmt numFmtId="196" formatCode="#,##0.00_ ;[Red]\-#,##0.00\ "/>
    <numFmt numFmtId="197" formatCode="0.0"/>
    <numFmt numFmtId="198" formatCode="#.#0%"/>
    <numFmt numFmtId="199" formatCode="0_ ;[Red]\-0\ "/>
    <numFmt numFmtId="200" formatCode="0.0000%"/>
    <numFmt numFmtId="201" formatCode="#.#%"/>
    <numFmt numFmtId="202" formatCode="_-[$$-409]* #,##0_ ;_-[$$-409]* \-#,##0\ ;_-[$$-409]* &quot;-&quot;_ ;_-@_ "/>
    <numFmt numFmtId="203" formatCode="0.0&quot; Años pendientes&quot;"/>
    <numFmt numFmtId="204" formatCode="0.0&quot; Años Fijo&quot;"/>
  </numFmts>
  <fonts count="69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color indexed="72"/>
      <name val="Lucida Grande"/>
    </font>
    <font>
      <b/>
      <sz val="14"/>
      <name val="Lucida Grande"/>
    </font>
    <font>
      <sz val="12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4"/>
      <name val="Arial"/>
      <family val="2"/>
    </font>
    <font>
      <sz val="10"/>
      <color indexed="23"/>
      <name val="Arial"/>
      <family val="2"/>
    </font>
    <font>
      <sz val="10"/>
      <name val="Arial"/>
      <family val="2"/>
    </font>
    <font>
      <sz val="10"/>
      <name val="Helvetica 45 Light"/>
    </font>
    <font>
      <sz val="8"/>
      <name val="Arial"/>
      <family val="2"/>
    </font>
    <font>
      <b/>
      <sz val="2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55"/>
      <name val="Arial"/>
      <family val="2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i/>
      <sz val="12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i/>
      <sz val="10"/>
      <name val="Arial"/>
      <family val="2"/>
    </font>
    <font>
      <b/>
      <sz val="10"/>
      <color indexed="63"/>
      <name val="Arial"/>
      <family val="2"/>
    </font>
    <font>
      <sz val="8"/>
      <name val="Arial Narrow"/>
      <family val="2"/>
    </font>
    <font>
      <b/>
      <sz val="12"/>
      <color indexed="63"/>
      <name val="Arial"/>
      <family val="2"/>
    </font>
    <font>
      <b/>
      <sz val="10"/>
      <color indexed="63"/>
      <name val="Arial Narrow"/>
      <family val="2"/>
    </font>
    <font>
      <b/>
      <sz val="10"/>
      <color indexed="10"/>
      <name val="Arial Narrow"/>
      <family val="2"/>
    </font>
    <font>
      <sz val="10"/>
      <color indexed="62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sz val="8"/>
      <color indexed="23"/>
      <name val="Arial"/>
      <family val="2"/>
    </font>
    <font>
      <sz val="10"/>
      <color indexed="8"/>
      <name val="Calibri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4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3F3F3F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3.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rgb="FFF2F2F2"/>
      </patternFill>
    </fill>
    <fill>
      <patternFill patternType="solid">
        <fgColor rgb="FFFF7C8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A09C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99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ashed">
        <color indexed="23"/>
      </top>
      <bottom style="dashed">
        <color indexed="23"/>
      </bottom>
      <diagonal/>
    </border>
    <border>
      <left/>
      <right/>
      <top/>
      <bottom style="medium">
        <color indexed="9"/>
      </bottom>
      <diagonal/>
    </border>
    <border>
      <left/>
      <right/>
      <top style="dashed">
        <color indexed="55"/>
      </top>
      <bottom style="dashed">
        <color indexed="55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dashed">
        <color indexed="23"/>
      </top>
      <bottom style="dashed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/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/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 style="medium">
        <color indexed="9"/>
      </bottom>
      <diagonal/>
    </border>
    <border>
      <left/>
      <right style="medium">
        <color indexed="55"/>
      </right>
      <top/>
      <bottom style="medium">
        <color indexed="9"/>
      </bottom>
      <diagonal/>
    </border>
    <border>
      <left style="medium">
        <color indexed="55"/>
      </left>
      <right/>
      <top style="dashed">
        <color indexed="55"/>
      </top>
      <bottom style="dashed">
        <color indexed="55"/>
      </bottom>
      <diagonal/>
    </border>
    <border>
      <left/>
      <right style="medium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55"/>
      </left>
      <right/>
      <top style="dashed">
        <color indexed="55"/>
      </top>
      <bottom style="medium">
        <color indexed="55"/>
      </bottom>
      <diagonal/>
    </border>
    <border>
      <left/>
      <right/>
      <top style="dashed">
        <color indexed="55"/>
      </top>
      <bottom style="medium">
        <color indexed="55"/>
      </bottom>
      <diagonal/>
    </border>
    <border>
      <left/>
      <right style="medium">
        <color indexed="55"/>
      </right>
      <top style="dashed">
        <color indexed="55"/>
      </top>
      <bottom style="medium">
        <color indexed="5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/>
      <right/>
      <top style="medium">
        <color indexed="64"/>
      </top>
      <bottom style="dashed">
        <color indexed="55"/>
      </bottom>
      <diagonal/>
    </border>
    <border>
      <left/>
      <right/>
      <top style="dashed">
        <color indexed="23"/>
      </top>
      <bottom style="thin">
        <color indexed="64"/>
      </bottom>
      <diagonal/>
    </border>
    <border>
      <left/>
      <right/>
      <top/>
      <bottom style="dashed">
        <color indexed="23"/>
      </bottom>
      <diagonal/>
    </border>
    <border>
      <left style="thin">
        <color indexed="64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1">
    <xf numFmtId="0" fontId="0" fillId="0" borderId="0"/>
    <xf numFmtId="173" fontId="19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3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4" fillId="0" borderId="0">
      <protection locked="0"/>
    </xf>
    <xf numFmtId="0" fontId="5" fillId="0" borderId="0">
      <protection locked="0"/>
    </xf>
    <xf numFmtId="174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17" borderId="100" applyNumberFormat="0" applyAlignment="0" applyProtection="0"/>
    <xf numFmtId="0" fontId="37" fillId="0" borderId="0"/>
    <xf numFmtId="0" fontId="19" fillId="0" borderId="0"/>
    <xf numFmtId="0" fontId="37" fillId="0" borderId="0"/>
    <xf numFmtId="0" fontId="2" fillId="0" borderId="0"/>
    <xf numFmtId="0" fontId="19" fillId="0" borderId="0"/>
  </cellStyleXfs>
  <cellXfs count="948">
    <xf numFmtId="0" fontId="0" fillId="0" borderId="0" xfId="0"/>
    <xf numFmtId="0" fontId="10" fillId="0" borderId="0" xfId="0" applyFont="1" applyAlignment="1" applyProtection="1">
      <alignment vertical="center"/>
    </xf>
    <xf numFmtId="0" fontId="10" fillId="2" borderId="0" xfId="0" applyFont="1" applyFill="1" applyProtection="1"/>
    <xf numFmtId="0" fontId="10" fillId="0" borderId="0" xfId="0" applyFont="1" applyProtection="1"/>
    <xf numFmtId="178" fontId="10" fillId="2" borderId="0" xfId="0" applyNumberFormat="1" applyFont="1" applyFill="1" applyBorder="1" applyProtection="1"/>
    <xf numFmtId="0" fontId="10" fillId="3" borderId="1" xfId="0" applyFont="1" applyFill="1" applyBorder="1" applyProtection="1"/>
    <xf numFmtId="3" fontId="10" fillId="0" borderId="0" xfId="0" applyNumberFormat="1" applyFont="1" applyBorder="1" applyProtection="1"/>
    <xf numFmtId="0" fontId="10" fillId="0" borderId="0" xfId="0" applyFont="1" applyBorder="1" applyProtection="1"/>
    <xf numFmtId="178" fontId="10" fillId="0" borderId="0" xfId="0" applyNumberFormat="1" applyFont="1" applyFill="1" applyBorder="1" applyProtection="1"/>
    <xf numFmtId="3" fontId="10" fillId="0" borderId="0" xfId="0" applyNumberFormat="1" applyFont="1" applyFill="1" applyProtection="1"/>
    <xf numFmtId="178" fontId="11" fillId="0" borderId="0" xfId="0" applyNumberFormat="1" applyFont="1" applyFill="1" applyBorder="1" applyProtection="1"/>
    <xf numFmtId="3" fontId="10" fillId="0" borderId="0" xfId="0" applyNumberFormat="1" applyFont="1" applyProtection="1"/>
    <xf numFmtId="0" fontId="10" fillId="0" borderId="0" xfId="0" applyFont="1" applyFill="1" applyProtection="1"/>
    <xf numFmtId="178" fontId="10" fillId="0" borderId="0" xfId="0" applyNumberFormat="1" applyFont="1" applyProtection="1"/>
    <xf numFmtId="0" fontId="10" fillId="0" borderId="0" xfId="0" applyFont="1" applyFill="1" applyBorder="1" applyProtection="1"/>
    <xf numFmtId="170" fontId="10" fillId="0" borderId="0" xfId="0" applyNumberFormat="1" applyFont="1" applyProtection="1"/>
    <xf numFmtId="3" fontId="10" fillId="4" borderId="0" xfId="0" applyNumberFormat="1" applyFont="1" applyFill="1" applyProtection="1"/>
    <xf numFmtId="3" fontId="10" fillId="5" borderId="0" xfId="0" applyNumberFormat="1" applyFont="1" applyFill="1" applyProtection="1"/>
    <xf numFmtId="0" fontId="11" fillId="3" borderId="2" xfId="0" applyFont="1" applyFill="1" applyBorder="1" applyProtection="1"/>
    <xf numFmtId="0" fontId="10" fillId="0" borderId="3" xfId="0" applyFont="1" applyBorder="1" applyProtection="1"/>
    <xf numFmtId="178" fontId="10" fillId="0" borderId="1" xfId="0" applyNumberFormat="1" applyFont="1" applyBorder="1" applyProtection="1"/>
    <xf numFmtId="0" fontId="10" fillId="0" borderId="4" xfId="0" applyFont="1" applyBorder="1" applyProtection="1"/>
    <xf numFmtId="0" fontId="10" fillId="0" borderId="5" xfId="0" applyFont="1" applyBorder="1" applyProtection="1"/>
    <xf numFmtId="0" fontId="10" fillId="0" borderId="6" xfId="0" applyFont="1" applyBorder="1" applyProtection="1"/>
    <xf numFmtId="0" fontId="11" fillId="3" borderId="0" xfId="0" applyFont="1" applyFill="1" applyProtection="1"/>
    <xf numFmtId="0" fontId="14" fillId="0" borderId="0" xfId="0" applyFont="1" applyAlignment="1" applyProtection="1">
      <alignment horizontal="center"/>
    </xf>
    <xf numFmtId="0" fontId="11" fillId="0" borderId="0" xfId="0" applyFont="1" applyProtection="1"/>
    <xf numFmtId="9" fontId="10" fillId="0" borderId="0" xfId="0" applyNumberFormat="1" applyFont="1" applyProtection="1"/>
    <xf numFmtId="0" fontId="13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center"/>
    </xf>
    <xf numFmtId="9" fontId="10" fillId="0" borderId="7" xfId="0" applyNumberFormat="1" applyFont="1" applyBorder="1" applyProtection="1"/>
    <xf numFmtId="0" fontId="10" fillId="0" borderId="7" xfId="0" applyFont="1" applyBorder="1" applyProtection="1"/>
    <xf numFmtId="0" fontId="10" fillId="0" borderId="8" xfId="0" applyFont="1" applyBorder="1" applyProtection="1"/>
    <xf numFmtId="9" fontId="10" fillId="0" borderId="0" xfId="0" applyNumberFormat="1" applyFont="1" applyBorder="1" applyProtection="1"/>
    <xf numFmtId="0" fontId="10" fillId="3" borderId="3" xfId="0" applyFont="1" applyFill="1" applyBorder="1" applyProtection="1"/>
    <xf numFmtId="170" fontId="10" fillId="0" borderId="0" xfId="0" applyNumberFormat="1" applyFont="1" applyBorder="1" applyProtection="1"/>
    <xf numFmtId="9" fontId="10" fillId="3" borderId="3" xfId="0" applyNumberFormat="1" applyFont="1" applyFill="1" applyBorder="1" applyProtection="1"/>
    <xf numFmtId="3" fontId="10" fillId="0" borderId="4" xfId="0" applyNumberFormat="1" applyFont="1" applyBorder="1" applyProtection="1"/>
    <xf numFmtId="1" fontId="10" fillId="0" borderId="0" xfId="0" applyNumberFormat="1" applyFont="1" applyBorder="1" applyProtection="1"/>
    <xf numFmtId="178" fontId="10" fillId="0" borderId="0" xfId="0" applyNumberFormat="1" applyFont="1" applyBorder="1" applyProtection="1"/>
    <xf numFmtId="178" fontId="10" fillId="0" borderId="4" xfId="0" applyNumberFormat="1" applyFont="1" applyBorder="1" applyProtection="1"/>
    <xf numFmtId="9" fontId="10" fillId="4" borderId="0" xfId="0" applyNumberFormat="1" applyFont="1" applyFill="1" applyBorder="1" applyProtection="1"/>
    <xf numFmtId="0" fontId="10" fillId="4" borderId="0" xfId="0" applyFont="1" applyFill="1" applyBorder="1" applyProtection="1"/>
    <xf numFmtId="2" fontId="10" fillId="6" borderId="0" xfId="0" applyNumberFormat="1" applyFont="1" applyFill="1" applyBorder="1" applyProtection="1"/>
    <xf numFmtId="174" fontId="10" fillId="0" borderId="0" xfId="10" applyFont="1" applyBorder="1" applyProtection="1"/>
    <xf numFmtId="2" fontId="10" fillId="0" borderId="0" xfId="0" applyNumberFormat="1" applyFont="1" applyBorder="1" applyProtection="1"/>
    <xf numFmtId="0" fontId="10" fillId="3" borderId="0" xfId="0" applyFont="1" applyFill="1" applyBorder="1" applyProtection="1"/>
    <xf numFmtId="2" fontId="10" fillId="0" borderId="5" xfId="0" applyNumberFormat="1" applyFont="1" applyBorder="1" applyProtection="1"/>
    <xf numFmtId="182" fontId="10" fillId="6" borderId="0" xfId="0" applyNumberFormat="1" applyFont="1" applyFill="1" applyBorder="1" applyProtection="1"/>
    <xf numFmtId="180" fontId="10" fillId="6" borderId="0" xfId="0" applyNumberFormat="1" applyFont="1" applyFill="1" applyBorder="1" applyProtection="1"/>
    <xf numFmtId="181" fontId="10" fillId="6" borderId="0" xfId="0" applyNumberFormat="1" applyFont="1" applyFill="1" applyBorder="1" applyProtection="1"/>
    <xf numFmtId="178" fontId="2" fillId="2" borderId="1" xfId="0" applyNumberFormat="1" applyFont="1" applyFill="1" applyBorder="1" applyProtection="1"/>
    <xf numFmtId="178" fontId="2" fillId="0" borderId="1" xfId="0" applyNumberFormat="1" applyFont="1" applyFill="1" applyBorder="1" applyProtection="1"/>
    <xf numFmtId="178" fontId="2" fillId="0" borderId="0" xfId="0" applyNumberFormat="1" applyFont="1" applyFill="1" applyBorder="1" applyProtection="1"/>
    <xf numFmtId="0" fontId="17" fillId="2" borderId="0" xfId="0" applyFont="1" applyFill="1" applyProtection="1"/>
    <xf numFmtId="0" fontId="17" fillId="0" borderId="0" xfId="0" applyFont="1" applyProtection="1"/>
    <xf numFmtId="0" fontId="2" fillId="5" borderId="1" xfId="0" applyFont="1" applyFill="1" applyBorder="1" applyProtection="1"/>
    <xf numFmtId="178" fontId="2" fillId="7" borderId="1" xfId="0" applyNumberFormat="1" applyFont="1" applyFill="1" applyBorder="1" applyProtection="1"/>
    <xf numFmtId="178" fontId="15" fillId="7" borderId="1" xfId="0" applyNumberFormat="1" applyFont="1" applyFill="1" applyBorder="1" applyProtection="1"/>
    <xf numFmtId="178" fontId="2" fillId="2" borderId="0" xfId="0" applyNumberFormat="1" applyFont="1" applyFill="1" applyBorder="1" applyProtection="1"/>
    <xf numFmtId="0" fontId="18" fillId="0" borderId="0" xfId="0" applyFont="1" applyFill="1" applyBorder="1" applyProtection="1"/>
    <xf numFmtId="3" fontId="18" fillId="0" borderId="0" xfId="0" applyNumberFormat="1" applyFont="1" applyFill="1" applyBorder="1" applyProtection="1"/>
    <xf numFmtId="178" fontId="18" fillId="0" borderId="0" xfId="0" applyNumberFormat="1" applyFont="1" applyFill="1" applyBorder="1" applyProtection="1"/>
    <xf numFmtId="3" fontId="10" fillId="0" borderId="0" xfId="0" applyNumberFormat="1" applyFont="1" applyFill="1" applyBorder="1" applyProtection="1"/>
    <xf numFmtId="0" fontId="18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2" fillId="0" borderId="0" xfId="19" applyAlignment="1">
      <alignment horizontal="center"/>
    </xf>
    <xf numFmtId="0" fontId="2" fillId="0" borderId="0" xfId="19"/>
    <xf numFmtId="1" fontId="15" fillId="0" borderId="0" xfId="19" applyNumberFormat="1" applyFont="1" applyAlignment="1">
      <alignment horizontal="center"/>
    </xf>
    <xf numFmtId="0" fontId="15" fillId="0" borderId="0" xfId="19" applyFont="1"/>
    <xf numFmtId="0" fontId="2" fillId="5" borderId="0" xfId="19" applyFont="1" applyFill="1" applyAlignment="1">
      <alignment horizontal="left"/>
    </xf>
    <xf numFmtId="0" fontId="2" fillId="5" borderId="0" xfId="19" applyFill="1"/>
    <xf numFmtId="0" fontId="2" fillId="5" borderId="0" xfId="19" applyFill="1" applyAlignment="1">
      <alignment horizontal="left"/>
    </xf>
    <xf numFmtId="0" fontId="29" fillId="0" borderId="0" xfId="19" applyFont="1" applyAlignment="1">
      <alignment vertical="center"/>
    </xf>
    <xf numFmtId="0" fontId="30" fillId="0" borderId="0" xfId="20" applyFont="1" applyFill="1" applyAlignment="1">
      <alignment vertical="center"/>
    </xf>
    <xf numFmtId="0" fontId="19" fillId="0" borderId="0" xfId="20" applyFill="1" applyAlignment="1">
      <alignment vertical="center"/>
    </xf>
    <xf numFmtId="0" fontId="19" fillId="0" borderId="0" xfId="20" applyFill="1" applyBorder="1" applyAlignment="1">
      <alignment vertical="center"/>
    </xf>
    <xf numFmtId="0" fontId="2" fillId="0" borderId="0" xfId="19" applyFill="1" applyAlignment="1">
      <alignment vertical="center"/>
    </xf>
    <xf numFmtId="0" fontId="2" fillId="0" borderId="0" xfId="19" applyFill="1" applyBorder="1" applyAlignment="1">
      <alignment vertical="center"/>
    </xf>
    <xf numFmtId="0" fontId="33" fillId="0" borderId="0" xfId="20" applyFont="1" applyFill="1" applyAlignment="1"/>
    <xf numFmtId="0" fontId="33" fillId="0" borderId="0" xfId="20" applyFont="1" applyFill="1" applyAlignment="1">
      <alignment vertical="center"/>
    </xf>
    <xf numFmtId="0" fontId="34" fillId="0" borderId="0" xfId="20" applyFont="1" applyFill="1" applyAlignment="1">
      <alignment vertical="center"/>
    </xf>
    <xf numFmtId="0" fontId="35" fillId="0" borderId="0" xfId="20" applyFont="1" applyFill="1" applyAlignment="1">
      <alignment vertical="center"/>
    </xf>
    <xf numFmtId="0" fontId="2" fillId="0" borderId="9" xfId="17" applyFont="1" applyFill="1" applyBorder="1"/>
    <xf numFmtId="0" fontId="31" fillId="8" borderId="10" xfId="20" applyFont="1" applyFill="1" applyBorder="1" applyAlignment="1">
      <alignment horizontal="center" vertical="center"/>
    </xf>
    <xf numFmtId="0" fontId="31" fillId="8" borderId="10" xfId="20" applyFont="1" applyFill="1" applyBorder="1" applyAlignment="1">
      <alignment horizontal="left" vertical="center" indent="1"/>
    </xf>
    <xf numFmtId="0" fontId="2" fillId="5" borderId="0" xfId="19" applyFont="1" applyFill="1" applyAlignment="1">
      <alignment horizontal="center" vertical="center" wrapText="1"/>
    </xf>
    <xf numFmtId="0" fontId="2" fillId="0" borderId="0" xfId="19" applyFill="1" applyAlignment="1">
      <alignment vertical="center" wrapText="1"/>
    </xf>
    <xf numFmtId="191" fontId="21" fillId="0" borderId="11" xfId="19" applyNumberFormat="1" applyFont="1" applyBorder="1" applyAlignment="1">
      <alignment horizontal="center"/>
    </xf>
    <xf numFmtId="192" fontId="21" fillId="0" borderId="11" xfId="19" applyNumberFormat="1" applyFont="1" applyBorder="1" applyAlignment="1">
      <alignment horizontal="center"/>
    </xf>
    <xf numFmtId="14" fontId="21" fillId="0" borderId="11" xfId="19" applyNumberFormat="1" applyFont="1" applyBorder="1" applyAlignment="1">
      <alignment horizontal="center"/>
    </xf>
    <xf numFmtId="0" fontId="10" fillId="0" borderId="0" xfId="0" applyFont="1"/>
    <xf numFmtId="0" fontId="10" fillId="0" borderId="12" xfId="0" applyFont="1" applyBorder="1"/>
    <xf numFmtId="0" fontId="10" fillId="3" borderId="13" xfId="0" applyFont="1" applyFill="1" applyBorder="1"/>
    <xf numFmtId="0" fontId="10" fillId="3" borderId="5" xfId="0" applyFont="1" applyFill="1" applyBorder="1"/>
    <xf numFmtId="0" fontId="10" fillId="0" borderId="0" xfId="0" applyFont="1" applyFill="1"/>
    <xf numFmtId="0" fontId="14" fillId="0" borderId="0" xfId="0" applyFont="1" applyFill="1"/>
    <xf numFmtId="0" fontId="11" fillId="3" borderId="14" xfId="0" applyFont="1" applyFill="1" applyBorder="1" applyAlignment="1">
      <alignment horizontal="center"/>
    </xf>
    <xf numFmtId="0" fontId="14" fillId="0" borderId="0" xfId="0" applyFont="1"/>
    <xf numFmtId="0" fontId="13" fillId="0" borderId="0" xfId="0" applyFont="1" applyFill="1" applyBorder="1"/>
    <xf numFmtId="190" fontId="2" fillId="2" borderId="15" xfId="17" applyNumberFormat="1" applyFont="1" applyFill="1" applyBorder="1" applyAlignment="1">
      <alignment horizontal="center"/>
    </xf>
    <xf numFmtId="0" fontId="2" fillId="2" borderId="0" xfId="19" applyFill="1" applyAlignment="1">
      <alignment horizontal="center"/>
    </xf>
    <xf numFmtId="0" fontId="24" fillId="2" borderId="0" xfId="19" applyFont="1" applyFill="1"/>
    <xf numFmtId="0" fontId="2" fillId="2" borderId="0" xfId="19" applyFill="1"/>
    <xf numFmtId="14" fontId="21" fillId="2" borderId="11" xfId="19" applyNumberFormat="1" applyFont="1" applyFill="1" applyBorder="1" applyAlignment="1">
      <alignment horizontal="center"/>
    </xf>
    <xf numFmtId="10" fontId="21" fillId="2" borderId="11" xfId="12" applyNumberFormat="1" applyFont="1" applyFill="1" applyBorder="1" applyAlignment="1">
      <alignment horizontal="center"/>
    </xf>
    <xf numFmtId="1" fontId="21" fillId="2" borderId="11" xfId="19" applyNumberFormat="1" applyFont="1" applyFill="1" applyBorder="1" applyAlignment="1">
      <alignment horizontal="center"/>
    </xf>
    <xf numFmtId="0" fontId="10" fillId="9" borderId="1" xfId="0" applyFont="1" applyFill="1" applyBorder="1" applyProtection="1">
      <protection locked="0"/>
    </xf>
    <xf numFmtId="2" fontId="2" fillId="0" borderId="0" xfId="19" applyNumberFormat="1" applyFill="1" applyAlignment="1">
      <alignment vertical="center"/>
    </xf>
    <xf numFmtId="0" fontId="2" fillId="0" borderId="0" xfId="19" applyNumberFormat="1" applyFill="1" applyBorder="1" applyAlignment="1">
      <alignment vertical="center"/>
    </xf>
    <xf numFmtId="0" fontId="11" fillId="0" borderId="0" xfId="18" applyFont="1" applyFill="1" applyAlignment="1">
      <alignment vertical="center"/>
    </xf>
    <xf numFmtId="0" fontId="37" fillId="0" borderId="0" xfId="18"/>
    <xf numFmtId="0" fontId="11" fillId="10" borderId="0" xfId="18" applyFont="1" applyFill="1"/>
    <xf numFmtId="0" fontId="38" fillId="11" borderId="0" xfId="18" applyFont="1" applyFill="1" applyAlignment="1">
      <alignment horizontal="center"/>
    </xf>
    <xf numFmtId="0" fontId="15" fillId="0" borderId="0" xfId="18" applyFont="1"/>
    <xf numFmtId="0" fontId="37" fillId="2" borderId="0" xfId="18" applyFill="1"/>
    <xf numFmtId="0" fontId="37" fillId="5" borderId="0" xfId="18" applyFill="1"/>
    <xf numFmtId="0" fontId="10" fillId="2" borderId="0" xfId="0" applyFont="1" applyFill="1" applyBorder="1" applyProtection="1"/>
    <xf numFmtId="0" fontId="10" fillId="2" borderId="1" xfId="0" applyFont="1" applyFill="1" applyBorder="1" applyAlignment="1" applyProtection="1">
      <alignment horizontal="right"/>
    </xf>
    <xf numFmtId="0" fontId="13" fillId="2" borderId="1" xfId="0" applyFont="1" applyFill="1" applyBorder="1" applyAlignment="1" applyProtection="1">
      <alignment horizontal="right"/>
    </xf>
    <xf numFmtId="0" fontId="13" fillId="2" borderId="1" xfId="0" applyFont="1" applyFill="1" applyBorder="1" applyAlignment="1" applyProtection="1">
      <alignment horizontal="center"/>
    </xf>
    <xf numFmtId="10" fontId="10" fillId="4" borderId="1" xfId="0" applyNumberFormat="1" applyFont="1" applyFill="1" applyBorder="1" applyProtection="1"/>
    <xf numFmtId="10" fontId="10" fillId="5" borderId="1" xfId="0" applyNumberFormat="1" applyFont="1" applyFill="1" applyBorder="1" applyAlignment="1" applyProtection="1">
      <alignment horizontal="center"/>
    </xf>
    <xf numFmtId="0" fontId="10" fillId="2" borderId="16" xfId="0" applyFont="1" applyFill="1" applyBorder="1" applyAlignment="1" applyProtection="1">
      <alignment horizontal="right"/>
    </xf>
    <xf numFmtId="0" fontId="10" fillId="5" borderId="1" xfId="0" applyFont="1" applyFill="1" applyBorder="1" applyAlignment="1" applyProtection="1">
      <alignment horizontal="center"/>
    </xf>
    <xf numFmtId="0" fontId="10" fillId="12" borderId="14" xfId="0" applyFont="1" applyFill="1" applyBorder="1" applyAlignment="1" applyProtection="1">
      <alignment horizontal="right"/>
    </xf>
    <xf numFmtId="176" fontId="10" fillId="13" borderId="6" xfId="12" applyNumberFormat="1" applyFont="1" applyFill="1" applyBorder="1" applyAlignment="1" applyProtection="1">
      <alignment horizontal="center"/>
    </xf>
    <xf numFmtId="9" fontId="10" fillId="13" borderId="6" xfId="0" applyNumberFormat="1" applyFont="1" applyFill="1" applyBorder="1" applyAlignment="1" applyProtection="1">
      <alignment horizontal="center"/>
    </xf>
    <xf numFmtId="0" fontId="2" fillId="0" borderId="0" xfId="0" applyFont="1" applyFill="1" applyProtection="1"/>
    <xf numFmtId="0" fontId="2" fillId="0" borderId="0" xfId="0" applyFont="1" applyProtection="1"/>
    <xf numFmtId="0" fontId="17" fillId="0" borderId="17" xfId="0" applyFont="1" applyFill="1" applyBorder="1" applyProtection="1"/>
    <xf numFmtId="178" fontId="16" fillId="3" borderId="18" xfId="0" applyNumberFormat="1" applyFont="1" applyFill="1" applyBorder="1" applyProtection="1"/>
    <xf numFmtId="178" fontId="2" fillId="3" borderId="18" xfId="0" applyNumberFormat="1" applyFont="1" applyFill="1" applyBorder="1" applyProtection="1"/>
    <xf numFmtId="0" fontId="2" fillId="3" borderId="18" xfId="0" applyFont="1" applyFill="1" applyBorder="1" applyProtection="1"/>
    <xf numFmtId="0" fontId="15" fillId="0" borderId="0" xfId="0" applyFont="1" applyFill="1" applyBorder="1" applyProtection="1"/>
    <xf numFmtId="0" fontId="2" fillId="0" borderId="0" xfId="0" applyFont="1" applyFill="1" applyBorder="1" applyProtection="1"/>
    <xf numFmtId="17" fontId="2" fillId="0" borderId="0" xfId="0" quotePrefix="1" applyNumberFormat="1" applyFont="1" applyFill="1" applyProtection="1"/>
    <xf numFmtId="178" fontId="2" fillId="2" borderId="1" xfId="0" applyNumberFormat="1" applyFont="1" applyFill="1" applyBorder="1" applyAlignment="1" applyProtection="1">
      <alignment wrapText="1"/>
    </xf>
    <xf numFmtId="178" fontId="2" fillId="2" borderId="17" xfId="0" applyNumberFormat="1" applyFont="1" applyFill="1" applyBorder="1" applyAlignment="1" applyProtection="1">
      <alignment wrapText="1"/>
    </xf>
    <xf numFmtId="16" fontId="2" fillId="0" borderId="0" xfId="0" quotePrefix="1" applyNumberFormat="1" applyFont="1" applyFill="1" applyProtection="1"/>
    <xf numFmtId="0" fontId="2" fillId="2" borderId="0" xfId="0" applyFont="1" applyFill="1" applyBorder="1" applyProtection="1"/>
    <xf numFmtId="0" fontId="2" fillId="2" borderId="0" xfId="0" applyFont="1" applyFill="1" applyProtection="1"/>
    <xf numFmtId="0" fontId="2" fillId="2" borderId="17" xfId="0" applyFont="1" applyFill="1" applyBorder="1" applyProtection="1"/>
    <xf numFmtId="0" fontId="2" fillId="5" borderId="1" xfId="0" applyFont="1" applyFill="1" applyBorder="1" applyAlignment="1" applyProtection="1">
      <alignment horizontal="left"/>
    </xf>
    <xf numFmtId="0" fontId="2" fillId="5" borderId="1" xfId="0" applyFont="1" applyFill="1" applyBorder="1" applyAlignment="1" applyProtection="1">
      <alignment horizontal="right"/>
    </xf>
    <xf numFmtId="0" fontId="2" fillId="5" borderId="0" xfId="0" applyFont="1" applyFill="1" applyBorder="1" applyProtection="1"/>
    <xf numFmtId="0" fontId="2" fillId="5" borderId="0" xfId="0" applyFont="1" applyFill="1" applyProtection="1"/>
    <xf numFmtId="3" fontId="2" fillId="0" borderId="0" xfId="0" applyNumberFormat="1" applyFont="1" applyFill="1" applyBorder="1" applyProtection="1"/>
    <xf numFmtId="3" fontId="2" fillId="0" borderId="0" xfId="0" applyNumberFormat="1" applyFont="1" applyProtection="1"/>
    <xf numFmtId="3" fontId="2" fillId="0" borderId="0" xfId="0" applyNumberFormat="1" applyFont="1" applyFill="1" applyProtection="1"/>
    <xf numFmtId="3" fontId="15" fillId="7" borderId="0" xfId="0" applyNumberFormat="1" applyFont="1" applyFill="1" applyBorder="1" applyProtection="1"/>
    <xf numFmtId="3" fontId="2" fillId="7" borderId="0" xfId="0" applyNumberFormat="1" applyFont="1" applyFill="1" applyBorder="1" applyProtection="1"/>
    <xf numFmtId="3" fontId="2" fillId="7" borderId="0" xfId="0" applyNumberFormat="1" applyFont="1" applyFill="1" applyProtection="1"/>
    <xf numFmtId="0" fontId="2" fillId="0" borderId="1" xfId="0" applyFont="1" applyBorder="1" applyProtection="1"/>
    <xf numFmtId="178" fontId="2" fillId="0" borderId="1" xfId="0" applyNumberFormat="1" applyFont="1" applyBorder="1" applyProtection="1"/>
    <xf numFmtId="178" fontId="2" fillId="2" borderId="19" xfId="0" applyNumberFormat="1" applyFont="1" applyFill="1" applyBorder="1" applyAlignment="1" applyProtection="1">
      <alignment wrapText="1"/>
    </xf>
    <xf numFmtId="178" fontId="2" fillId="2" borderId="19" xfId="0" applyNumberFormat="1" applyFont="1" applyFill="1" applyBorder="1" applyProtection="1"/>
    <xf numFmtId="9" fontId="2" fillId="0" borderId="0" xfId="12" applyFont="1" applyFill="1" applyProtection="1"/>
    <xf numFmtId="178" fontId="2" fillId="0" borderId="0" xfId="0" applyNumberFormat="1" applyFont="1" applyFill="1" applyBorder="1" applyAlignment="1" applyProtection="1">
      <alignment wrapText="1"/>
    </xf>
    <xf numFmtId="178" fontId="2" fillId="0" borderId="1" xfId="0" applyNumberFormat="1" applyFont="1" applyFill="1" applyBorder="1" applyAlignment="1" applyProtection="1">
      <alignment wrapText="1"/>
    </xf>
    <xf numFmtId="178" fontId="2" fillId="0" borderId="19" xfId="0" applyNumberFormat="1" applyFont="1" applyFill="1" applyBorder="1" applyAlignment="1" applyProtection="1">
      <alignment wrapText="1"/>
    </xf>
    <xf numFmtId="178" fontId="2" fillId="0" borderId="19" xfId="0" applyNumberFormat="1" applyFont="1" applyFill="1" applyBorder="1" applyProtection="1"/>
    <xf numFmtId="178" fontId="2" fillId="0" borderId="1" xfId="0" applyNumberFormat="1" applyFont="1" applyFill="1" applyBorder="1" applyAlignment="1" applyProtection="1">
      <alignment horizontal="center"/>
    </xf>
    <xf numFmtId="3" fontId="2" fillId="0" borderId="1" xfId="0" applyNumberFormat="1" applyFont="1" applyFill="1" applyBorder="1" applyProtection="1"/>
    <xf numFmtId="178" fontId="15" fillId="0" borderId="0" xfId="0" applyNumberFormat="1" applyFont="1" applyFill="1" applyBorder="1" applyAlignment="1" applyProtection="1">
      <alignment wrapText="1"/>
    </xf>
    <xf numFmtId="178" fontId="2" fillId="0" borderId="0" xfId="0" applyNumberFormat="1" applyFont="1" applyProtection="1"/>
    <xf numFmtId="0" fontId="2" fillId="3" borderId="1" xfId="0" applyFont="1" applyFill="1" applyBorder="1" applyAlignment="1" applyProtection="1">
      <alignment wrapText="1"/>
    </xf>
    <xf numFmtId="2" fontId="2" fillId="0" borderId="0" xfId="0" applyNumberFormat="1" applyFont="1" applyProtection="1"/>
    <xf numFmtId="0" fontId="2" fillId="0" borderId="0" xfId="0" applyFont="1" applyAlignment="1" applyProtection="1">
      <alignment vertical="center"/>
    </xf>
    <xf numFmtId="170" fontId="36" fillId="0" borderId="0" xfId="0" applyNumberFormat="1" applyFont="1" applyProtection="1"/>
    <xf numFmtId="3" fontId="2" fillId="0" borderId="0" xfId="0" applyNumberFormat="1" applyFont="1" applyAlignment="1" applyProtection="1">
      <alignment vertical="center"/>
    </xf>
    <xf numFmtId="0" fontId="2" fillId="14" borderId="0" xfId="0" applyFont="1" applyFill="1" applyProtection="1"/>
    <xf numFmtId="177" fontId="2" fillId="0" borderId="0" xfId="0" applyNumberFormat="1" applyFont="1" applyProtection="1"/>
    <xf numFmtId="170" fontId="2" fillId="0" borderId="0" xfId="0" applyNumberFormat="1" applyFont="1" applyProtection="1"/>
    <xf numFmtId="3" fontId="18" fillId="0" borderId="0" xfId="0" applyNumberFormat="1" applyFont="1" applyFill="1" applyProtection="1"/>
    <xf numFmtId="0" fontId="2" fillId="0" borderId="1" xfId="0" applyFont="1" applyFill="1" applyBorder="1" applyProtection="1"/>
    <xf numFmtId="178" fontId="40" fillId="2" borderId="1" xfId="0" applyNumberFormat="1" applyFont="1" applyFill="1" applyBorder="1" applyProtection="1"/>
    <xf numFmtId="178" fontId="40" fillId="0" borderId="1" xfId="0" applyNumberFormat="1" applyFont="1" applyFill="1" applyBorder="1" applyProtection="1"/>
    <xf numFmtId="3" fontId="40" fillId="0" borderId="0" xfId="0" applyNumberFormat="1" applyFont="1" applyFill="1" applyBorder="1" applyProtection="1"/>
    <xf numFmtId="3" fontId="40" fillId="0" borderId="0" xfId="0" applyNumberFormat="1" applyFont="1" applyFill="1" applyProtection="1"/>
    <xf numFmtId="9" fontId="40" fillId="0" borderId="0" xfId="12" applyFont="1" applyFill="1" applyProtection="1"/>
    <xf numFmtId="178" fontId="40" fillId="0" borderId="0" xfId="0" applyNumberFormat="1" applyFont="1" applyFill="1" applyBorder="1" applyAlignment="1" applyProtection="1">
      <alignment wrapText="1"/>
    </xf>
    <xf numFmtId="9" fontId="40" fillId="0" borderId="0" xfId="12" applyFont="1" applyFill="1" applyBorder="1" applyProtection="1"/>
    <xf numFmtId="0" fontId="2" fillId="2" borderId="1" xfId="0" applyFont="1" applyFill="1" applyBorder="1" applyAlignment="1" applyProtection="1">
      <alignment horizontal="center"/>
    </xf>
    <xf numFmtId="9" fontId="2" fillId="2" borderId="1" xfId="12" applyNumberFormat="1" applyFont="1" applyFill="1" applyBorder="1" applyAlignment="1" applyProtection="1">
      <alignment horizontal="center" vertical="center"/>
    </xf>
    <xf numFmtId="0" fontId="2" fillId="2" borderId="1" xfId="10" applyNumberFormat="1" applyFont="1" applyFill="1" applyBorder="1" applyAlignment="1" applyProtection="1">
      <alignment horizontal="center" vertical="center"/>
    </xf>
    <xf numFmtId="3" fontId="2" fillId="2" borderId="0" xfId="0" applyNumberFormat="1" applyFont="1" applyFill="1" applyBorder="1" applyProtection="1"/>
    <xf numFmtId="3" fontId="2" fillId="2" borderId="0" xfId="0" applyNumberFormat="1" applyFont="1" applyFill="1" applyProtection="1"/>
    <xf numFmtId="178" fontId="24" fillId="0" borderId="0" xfId="0" applyNumberFormat="1" applyFont="1" applyFill="1" applyBorder="1" applyAlignment="1" applyProtection="1">
      <alignment wrapText="1"/>
    </xf>
    <xf numFmtId="9" fontId="24" fillId="0" borderId="0" xfId="12" applyFont="1" applyFill="1" applyBorder="1" applyProtection="1"/>
    <xf numFmtId="3" fontId="24" fillId="0" borderId="0" xfId="0" applyNumberFormat="1" applyFont="1" applyFill="1" applyBorder="1" applyProtection="1"/>
    <xf numFmtId="0" fontId="0" fillId="0" borderId="0" xfId="0" applyProtection="1"/>
    <xf numFmtId="0" fontId="39" fillId="0" borderId="0" xfId="16" applyFont="1"/>
    <xf numFmtId="0" fontId="37" fillId="0" borderId="0" xfId="16"/>
    <xf numFmtId="0" fontId="15" fillId="0" borderId="1" xfId="16" applyFont="1" applyBorder="1"/>
    <xf numFmtId="3" fontId="37" fillId="0" borderId="1" xfId="16" applyNumberFormat="1" applyBorder="1"/>
    <xf numFmtId="0" fontId="37" fillId="0" borderId="1" xfId="16" applyBorder="1"/>
    <xf numFmtId="3" fontId="15" fillId="0" borderId="1" xfId="16" applyNumberFormat="1" applyFont="1" applyBorder="1"/>
    <xf numFmtId="9" fontId="37" fillId="0" borderId="0" xfId="16" applyNumberFormat="1"/>
    <xf numFmtId="3" fontId="37" fillId="0" borderId="0" xfId="16" applyNumberFormat="1"/>
    <xf numFmtId="0" fontId="15" fillId="0" borderId="0" xfId="16" applyFont="1"/>
    <xf numFmtId="0" fontId="2" fillId="0" borderId="0" xfId="16" applyFont="1"/>
    <xf numFmtId="0" fontId="47" fillId="0" borderId="0" xfId="0" applyFont="1"/>
    <xf numFmtId="178" fontId="48" fillId="0" borderId="1" xfId="0" applyNumberFormat="1" applyFont="1" applyBorder="1" applyProtection="1"/>
    <xf numFmtId="194" fontId="49" fillId="7" borderId="1" xfId="0" applyNumberFormat="1" applyFont="1" applyFill="1" applyBorder="1" applyProtection="1"/>
    <xf numFmtId="195" fontId="10" fillId="0" borderId="0" xfId="0" applyNumberFormat="1" applyFont="1" applyProtection="1"/>
    <xf numFmtId="195" fontId="36" fillId="0" borderId="0" xfId="0" applyNumberFormat="1" applyFont="1" applyProtection="1"/>
    <xf numFmtId="38" fontId="10" fillId="0" borderId="0" xfId="0" applyNumberFormat="1" applyFont="1" applyProtection="1"/>
    <xf numFmtId="180" fontId="2" fillId="0" borderId="0" xfId="0" applyNumberFormat="1" applyFont="1" applyFill="1" applyBorder="1" applyProtection="1"/>
    <xf numFmtId="178" fontId="10" fillId="0" borderId="0" xfId="0" applyNumberFormat="1" applyFont="1" applyFill="1" applyProtection="1"/>
    <xf numFmtId="176" fontId="10" fillId="0" borderId="0" xfId="0" applyNumberFormat="1" applyFont="1" applyProtection="1"/>
    <xf numFmtId="3" fontId="10" fillId="0" borderId="3" xfId="0" applyNumberFormat="1" applyFont="1" applyBorder="1" applyProtection="1"/>
    <xf numFmtId="196" fontId="2" fillId="0" borderId="19" xfId="0" applyNumberFormat="1" applyFont="1" applyFill="1" applyBorder="1" applyProtection="1"/>
    <xf numFmtId="174" fontId="10" fillId="0" borderId="0" xfId="0" applyNumberFormat="1" applyFont="1" applyBorder="1" applyProtection="1"/>
    <xf numFmtId="3" fontId="0" fillId="0" borderId="0" xfId="0" applyNumberFormat="1"/>
    <xf numFmtId="2" fontId="10" fillId="18" borderId="5" xfId="0" applyNumberFormat="1" applyFont="1" applyFill="1" applyBorder="1" applyProtection="1"/>
    <xf numFmtId="9" fontId="0" fillId="0" borderId="0" xfId="0" applyNumberFormat="1"/>
    <xf numFmtId="2" fontId="10" fillId="0" borderId="0" xfId="0" applyNumberFormat="1" applyFont="1" applyProtection="1"/>
    <xf numFmtId="183" fontId="10" fillId="0" borderId="0" xfId="0" applyNumberFormat="1" applyFont="1" applyProtection="1"/>
    <xf numFmtId="178" fontId="2" fillId="19" borderId="1" xfId="0" applyNumberFormat="1" applyFont="1" applyFill="1" applyBorder="1" applyProtection="1"/>
    <xf numFmtId="178" fontId="2" fillId="19" borderId="1" xfId="0" applyNumberFormat="1" applyFont="1" applyFill="1" applyBorder="1" applyAlignment="1" applyProtection="1">
      <alignment wrapText="1"/>
    </xf>
    <xf numFmtId="0" fontId="2" fillId="20" borderId="17" xfId="0" applyFont="1" applyFill="1" applyBorder="1" applyAlignment="1" applyProtection="1">
      <alignment wrapText="1"/>
    </xf>
    <xf numFmtId="0" fontId="2" fillId="20" borderId="17" xfId="0" applyFont="1" applyFill="1" applyBorder="1" applyProtection="1"/>
    <xf numFmtId="178" fontId="2" fillId="20" borderId="17" xfId="0" applyNumberFormat="1" applyFont="1" applyFill="1" applyBorder="1" applyAlignment="1" applyProtection="1">
      <alignment wrapText="1"/>
    </xf>
    <xf numFmtId="178" fontId="2" fillId="21" borderId="16" xfId="0" applyNumberFormat="1" applyFont="1" applyFill="1" applyBorder="1" applyAlignment="1" applyProtection="1">
      <alignment wrapText="1"/>
    </xf>
    <xf numFmtId="178" fontId="2" fillId="20" borderId="1" xfId="0" applyNumberFormat="1" applyFont="1" applyFill="1" applyBorder="1" applyProtection="1"/>
    <xf numFmtId="178" fontId="15" fillId="20" borderId="1" xfId="0" applyNumberFormat="1" applyFont="1" applyFill="1" applyBorder="1" applyProtection="1"/>
    <xf numFmtId="178" fontId="2" fillId="22" borderId="1" xfId="0" applyNumberFormat="1" applyFont="1" applyFill="1" applyBorder="1" applyAlignment="1" applyProtection="1"/>
    <xf numFmtId="178" fontId="2" fillId="22" borderId="1" xfId="0" applyNumberFormat="1" applyFont="1" applyFill="1" applyBorder="1" applyProtection="1"/>
    <xf numFmtId="178" fontId="2" fillId="22" borderId="1" xfId="0" applyNumberFormat="1" applyFont="1" applyFill="1" applyBorder="1" applyAlignment="1" applyProtection="1">
      <alignment wrapText="1"/>
    </xf>
    <xf numFmtId="178" fontId="2" fillId="21" borderId="16" xfId="0" applyNumberFormat="1" applyFont="1" applyFill="1" applyBorder="1" applyProtection="1"/>
    <xf numFmtId="178" fontId="2" fillId="21" borderId="1" xfId="0" applyNumberFormat="1" applyFont="1" applyFill="1" applyBorder="1" applyAlignment="1" applyProtection="1">
      <alignment wrapText="1"/>
    </xf>
    <xf numFmtId="178" fontId="2" fillId="21" borderId="1" xfId="0" applyNumberFormat="1" applyFont="1" applyFill="1" applyBorder="1" applyProtection="1"/>
    <xf numFmtId="178" fontId="2" fillId="21" borderId="1" xfId="0" applyNumberFormat="1" applyFont="1" applyFill="1" applyBorder="1" applyProtection="1">
      <protection locked="0"/>
    </xf>
    <xf numFmtId="178" fontId="2" fillId="21" borderId="19" xfId="0" applyNumberFormat="1" applyFont="1" applyFill="1" applyBorder="1" applyAlignment="1" applyProtection="1">
      <alignment wrapText="1"/>
    </xf>
    <xf numFmtId="178" fontId="2" fillId="21" borderId="19" xfId="0" applyNumberFormat="1" applyFont="1" applyFill="1" applyBorder="1" applyProtection="1"/>
    <xf numFmtId="3" fontId="2" fillId="21" borderId="0" xfId="0" applyNumberFormat="1" applyFont="1" applyFill="1" applyProtection="1"/>
    <xf numFmtId="178" fontId="2" fillId="23" borderId="1" xfId="0" applyNumberFormat="1" applyFont="1" applyFill="1" applyBorder="1" applyAlignment="1" applyProtection="1">
      <alignment wrapText="1"/>
    </xf>
    <xf numFmtId="178" fontId="2" fillId="23" borderId="1" xfId="0" applyNumberFormat="1" applyFont="1" applyFill="1" applyBorder="1" applyProtection="1"/>
    <xf numFmtId="178" fontId="2" fillId="23" borderId="1" xfId="0" applyNumberFormat="1" applyFont="1" applyFill="1" applyBorder="1" applyAlignment="1" applyProtection="1">
      <alignment horizontal="center"/>
    </xf>
    <xf numFmtId="0" fontId="50" fillId="0" borderId="0" xfId="0" applyFont="1"/>
    <xf numFmtId="178" fontId="2" fillId="24" borderId="1" xfId="0" applyNumberFormat="1" applyFont="1" applyFill="1" applyBorder="1" applyProtection="1"/>
    <xf numFmtId="178" fontId="2" fillId="24" borderId="16" xfId="0" applyNumberFormat="1" applyFont="1" applyFill="1" applyBorder="1" applyProtection="1"/>
    <xf numFmtId="0" fontId="2" fillId="24" borderId="17" xfId="0" applyFont="1" applyFill="1" applyBorder="1" applyAlignment="1" applyProtection="1">
      <alignment wrapText="1"/>
    </xf>
    <xf numFmtId="178" fontId="2" fillId="24" borderId="1" xfId="0" applyNumberFormat="1" applyFont="1" applyFill="1" applyBorder="1" applyAlignment="1" applyProtection="1"/>
    <xf numFmtId="178" fontId="2" fillId="24" borderId="1" xfId="0" applyNumberFormat="1" applyFont="1" applyFill="1" applyBorder="1" applyAlignment="1" applyProtection="1">
      <alignment wrapText="1"/>
    </xf>
    <xf numFmtId="0" fontId="2" fillId="24" borderId="1" xfId="0" applyFont="1" applyFill="1" applyBorder="1" applyProtection="1"/>
    <xf numFmtId="178" fontId="2" fillId="24" borderId="16" xfId="0" applyNumberFormat="1" applyFont="1" applyFill="1" applyBorder="1" applyAlignment="1" applyProtection="1">
      <alignment wrapText="1"/>
    </xf>
    <xf numFmtId="0" fontId="51" fillId="0" borderId="0" xfId="0" applyFont="1" applyProtection="1"/>
    <xf numFmtId="9" fontId="52" fillId="0" borderId="0" xfId="0" applyNumberFormat="1" applyFont="1" applyProtection="1"/>
    <xf numFmtId="178" fontId="2" fillId="9" borderId="1" xfId="0" applyNumberFormat="1" applyFont="1" applyFill="1" applyBorder="1" applyAlignment="1" applyProtection="1">
      <alignment horizontal="right"/>
    </xf>
    <xf numFmtId="3" fontId="10" fillId="13" borderId="6" xfId="0" applyNumberFormat="1" applyFont="1" applyFill="1" applyBorder="1" applyAlignment="1" applyProtection="1">
      <alignment horizontal="center"/>
    </xf>
    <xf numFmtId="198" fontId="10" fillId="0" borderId="0" xfId="0" applyNumberFormat="1" applyFont="1" applyProtection="1"/>
    <xf numFmtId="176" fontId="2" fillId="0" borderId="1" xfId="0" applyNumberFormat="1" applyFont="1" applyFill="1" applyBorder="1" applyAlignment="1" applyProtection="1">
      <alignment horizontal="center"/>
    </xf>
    <xf numFmtId="0" fontId="0" fillId="0" borderId="0" xfId="0" applyFont="1" applyAlignment="1">
      <alignment horizontal="left" vertical="center" indent="4"/>
    </xf>
    <xf numFmtId="179" fontId="10" fillId="0" borderId="0" xfId="0" applyNumberFormat="1" applyFont="1" applyBorder="1" applyProtection="1"/>
    <xf numFmtId="0" fontId="0" fillId="0" borderId="1" xfId="0" applyBorder="1"/>
    <xf numFmtId="0" fontId="47" fillId="0" borderId="1" xfId="0" applyFont="1" applyBorder="1"/>
    <xf numFmtId="0" fontId="0" fillId="25" borderId="1" xfId="0" applyFill="1" applyBorder="1" applyAlignment="1">
      <alignment wrapText="1"/>
    </xf>
    <xf numFmtId="0" fontId="0" fillId="25" borderId="1" xfId="0" applyFill="1" applyBorder="1"/>
    <xf numFmtId="0" fontId="0" fillId="26" borderId="1" xfId="0" applyFill="1" applyBorder="1" applyAlignment="1">
      <alignment wrapText="1"/>
    </xf>
    <xf numFmtId="0" fontId="0" fillId="26" borderId="1" xfId="0" applyFill="1" applyBorder="1"/>
    <xf numFmtId="3" fontId="0" fillId="26" borderId="1" xfId="0" applyNumberFormat="1" applyFill="1" applyBorder="1" applyAlignment="1">
      <alignment horizontal="center"/>
    </xf>
    <xf numFmtId="194" fontId="49" fillId="27" borderId="1" xfId="0" applyNumberFormat="1" applyFont="1" applyFill="1" applyBorder="1" applyProtection="1"/>
    <xf numFmtId="176" fontId="45" fillId="25" borderId="1" xfId="12" applyNumberFormat="1" applyFont="1" applyFill="1" applyBorder="1" applyAlignment="1">
      <alignment horizontal="center"/>
    </xf>
    <xf numFmtId="0" fontId="2" fillId="0" borderId="1" xfId="16" applyFont="1" applyBorder="1"/>
    <xf numFmtId="196" fontId="2" fillId="0" borderId="1" xfId="0" applyNumberFormat="1" applyFont="1" applyFill="1" applyBorder="1" applyProtection="1"/>
    <xf numFmtId="200" fontId="40" fillId="0" borderId="0" xfId="12" applyNumberFormat="1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38" fontId="2" fillId="0" borderId="1" xfId="0" applyNumberFormat="1" applyFont="1" applyBorder="1" applyAlignment="1" applyProtection="1">
      <alignment horizontal="center"/>
    </xf>
    <xf numFmtId="0" fontId="53" fillId="0" borderId="0" xfId="0" applyFont="1"/>
    <xf numFmtId="0" fontId="54" fillId="0" borderId="0" xfId="0" applyFont="1" applyAlignment="1">
      <alignment vertical="center"/>
    </xf>
    <xf numFmtId="0" fontId="55" fillId="0" borderId="1" xfId="0" applyFont="1" applyBorder="1" applyAlignment="1">
      <alignment horizontal="center"/>
    </xf>
    <xf numFmtId="3" fontId="0" fillId="21" borderId="1" xfId="0" applyNumberFormat="1" applyFill="1" applyBorder="1"/>
    <xf numFmtId="178" fontId="15" fillId="21" borderId="1" xfId="0" applyNumberFormat="1" applyFont="1" applyFill="1" applyBorder="1" applyProtection="1"/>
    <xf numFmtId="0" fontId="0" fillId="28" borderId="1" xfId="0" applyFont="1" applyFill="1" applyBorder="1"/>
    <xf numFmtId="3" fontId="0" fillId="28" borderId="1" xfId="0" applyNumberFormat="1" applyFill="1" applyBorder="1"/>
    <xf numFmtId="0" fontId="0" fillId="20" borderId="1" xfId="0" applyFont="1" applyFill="1" applyBorder="1"/>
    <xf numFmtId="0" fontId="0" fillId="29" borderId="1" xfId="0" applyFont="1" applyFill="1" applyBorder="1"/>
    <xf numFmtId="3" fontId="0" fillId="29" borderId="1" xfId="0" applyNumberFormat="1" applyFill="1" applyBorder="1"/>
    <xf numFmtId="0" fontId="0" fillId="18" borderId="1" xfId="0" applyFont="1" applyFill="1" applyBorder="1"/>
    <xf numFmtId="0" fontId="47" fillId="30" borderId="1" xfId="0" applyFont="1" applyFill="1" applyBorder="1"/>
    <xf numFmtId="0" fontId="0" fillId="0" borderId="17" xfId="0" applyBorder="1"/>
    <xf numFmtId="0" fontId="0" fillId="0" borderId="18" xfId="0" applyBorder="1"/>
    <xf numFmtId="0" fontId="47" fillId="0" borderId="18" xfId="0" applyFont="1" applyBorder="1"/>
    <xf numFmtId="0" fontId="47" fillId="0" borderId="19" xfId="0" applyFont="1" applyBorder="1"/>
    <xf numFmtId="0" fontId="47" fillId="0" borderId="20" xfId="0" applyFont="1" applyBorder="1"/>
    <xf numFmtId="0" fontId="47" fillId="0" borderId="16" xfId="0" applyFont="1" applyBorder="1"/>
    <xf numFmtId="0" fontId="55" fillId="0" borderId="0" xfId="0" applyFont="1"/>
    <xf numFmtId="0" fontId="0" fillId="0" borderId="14" xfId="0" applyBorder="1"/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4" fillId="4" borderId="13" xfId="0" applyFont="1" applyFill="1" applyBorder="1" applyAlignment="1" applyProtection="1"/>
    <xf numFmtId="0" fontId="14" fillId="4" borderId="21" xfId="0" applyFont="1" applyFill="1" applyBorder="1" applyAlignment="1" applyProtection="1"/>
    <xf numFmtId="0" fontId="10" fillId="2" borderId="22" xfId="0" applyFont="1" applyFill="1" applyBorder="1" applyProtection="1"/>
    <xf numFmtId="0" fontId="10" fillId="2" borderId="23" xfId="0" applyFont="1" applyFill="1" applyBorder="1" applyProtection="1"/>
    <xf numFmtId="0" fontId="10" fillId="2" borderId="24" xfId="0" applyFont="1" applyFill="1" applyBorder="1" applyProtection="1"/>
    <xf numFmtId="0" fontId="10" fillId="2" borderId="25" xfId="0" applyFont="1" applyFill="1" applyBorder="1" applyProtection="1"/>
    <xf numFmtId="0" fontId="10" fillId="2" borderId="26" xfId="0" applyFont="1" applyFill="1" applyBorder="1" applyAlignment="1" applyProtection="1">
      <alignment horizontal="right"/>
    </xf>
    <xf numFmtId="0" fontId="10" fillId="2" borderId="27" xfId="0" applyFont="1" applyFill="1" applyBorder="1" applyAlignment="1" applyProtection="1">
      <alignment horizontal="right"/>
    </xf>
    <xf numFmtId="0" fontId="10" fillId="2" borderId="28" xfId="0" applyFont="1" applyFill="1" applyBorder="1" applyAlignment="1" applyProtection="1">
      <alignment horizontal="right"/>
    </xf>
    <xf numFmtId="0" fontId="10" fillId="9" borderId="26" xfId="0" applyFont="1" applyFill="1" applyBorder="1" applyProtection="1">
      <protection locked="0"/>
    </xf>
    <xf numFmtId="0" fontId="10" fillId="9" borderId="27" xfId="0" applyFont="1" applyFill="1" applyBorder="1" applyProtection="1">
      <protection locked="0"/>
    </xf>
    <xf numFmtId="0" fontId="10" fillId="12" borderId="29" xfId="0" applyFont="1" applyFill="1" applyBorder="1" applyAlignment="1" applyProtection="1">
      <alignment horizontal="right"/>
    </xf>
    <xf numFmtId="3" fontId="10" fillId="13" borderId="30" xfId="0" applyNumberFormat="1" applyFont="1" applyFill="1" applyBorder="1" applyAlignment="1" applyProtection="1">
      <alignment horizontal="center"/>
    </xf>
    <xf numFmtId="9" fontId="0" fillId="20" borderId="1" xfId="0" applyNumberFormat="1" applyFont="1" applyFill="1" applyBorder="1"/>
    <xf numFmtId="176" fontId="0" fillId="18" borderId="1" xfId="0" applyNumberFormat="1" applyFont="1" applyFill="1" applyBorder="1"/>
    <xf numFmtId="178" fontId="56" fillId="21" borderId="1" xfId="0" applyNumberFormat="1" applyFont="1" applyFill="1" applyBorder="1" applyProtection="1"/>
    <xf numFmtId="0" fontId="57" fillId="0" borderId="0" xfId="0" applyFont="1"/>
    <xf numFmtId="0" fontId="50" fillId="31" borderId="1" xfId="0" applyFont="1" applyFill="1" applyBorder="1" applyAlignment="1">
      <alignment horizontal="center"/>
    </xf>
    <xf numFmtId="0" fontId="55" fillId="31" borderId="1" xfId="0" applyFont="1" applyFill="1" applyBorder="1" applyAlignment="1">
      <alignment horizontal="center"/>
    </xf>
    <xf numFmtId="10" fontId="55" fillId="31" borderId="1" xfId="12" applyNumberFormat="1" applyFont="1" applyFill="1" applyBorder="1" applyAlignment="1">
      <alignment horizontal="center"/>
    </xf>
    <xf numFmtId="3" fontId="55" fillId="31" borderId="1" xfId="0" applyNumberFormat="1" applyFont="1" applyFill="1" applyBorder="1" applyAlignment="1">
      <alignment horizontal="center"/>
    </xf>
    <xf numFmtId="3" fontId="50" fillId="31" borderId="1" xfId="0" applyNumberFormat="1" applyFont="1" applyFill="1" applyBorder="1" applyAlignment="1">
      <alignment horizontal="center"/>
    </xf>
    <xf numFmtId="3" fontId="0" fillId="0" borderId="1" xfId="0" applyNumberFormat="1" applyBorder="1"/>
    <xf numFmtId="0" fontId="0" fillId="0" borderId="26" xfId="0" applyBorder="1"/>
    <xf numFmtId="0" fontId="0" fillId="0" borderId="27" xfId="0" applyBorder="1"/>
    <xf numFmtId="0" fontId="47" fillId="0" borderId="26" xfId="0" applyFont="1" applyBorder="1"/>
    <xf numFmtId="178" fontId="58" fillId="32" borderId="1" xfId="15" applyNumberFormat="1" applyFont="1" applyFill="1" applyBorder="1" applyAlignment="1" applyProtection="1">
      <alignment horizontal="right"/>
      <protection locked="0"/>
    </xf>
    <xf numFmtId="178" fontId="58" fillId="27" borderId="1" xfId="15" applyNumberFormat="1" applyFont="1" applyFill="1" applyBorder="1" applyAlignment="1" applyProtection="1">
      <alignment horizontal="right"/>
      <protection locked="0"/>
    </xf>
    <xf numFmtId="196" fontId="58" fillId="32" borderId="1" xfId="15" applyNumberFormat="1" applyFont="1" applyFill="1" applyBorder="1" applyAlignment="1" applyProtection="1">
      <alignment horizontal="right"/>
      <protection locked="0"/>
    </xf>
    <xf numFmtId="10" fontId="45" fillId="0" borderId="1" xfId="12" applyNumberFormat="1" applyFont="1" applyBorder="1"/>
    <xf numFmtId="10" fontId="45" fillId="0" borderId="27" xfId="12" applyNumberFormat="1" applyFont="1" applyBorder="1"/>
    <xf numFmtId="9" fontId="0" fillId="0" borderId="1" xfId="0" applyNumberFormat="1" applyBorder="1"/>
    <xf numFmtId="0" fontId="0" fillId="0" borderId="31" xfId="0" applyBorder="1"/>
    <xf numFmtId="178" fontId="58" fillId="17" borderId="31" xfId="15" applyNumberFormat="1" applyFont="1" applyBorder="1" applyAlignment="1" applyProtection="1">
      <alignment horizontal="right"/>
      <protection locked="0"/>
    </xf>
    <xf numFmtId="0" fontId="47" fillId="0" borderId="1" xfId="0" applyFont="1" applyBorder="1" applyAlignment="1">
      <alignment horizontal="center"/>
    </xf>
    <xf numFmtId="3" fontId="47" fillId="0" borderId="1" xfId="0" applyNumberFormat="1" applyFont="1" applyFill="1" applyBorder="1"/>
    <xf numFmtId="3" fontId="47" fillId="0" borderId="1" xfId="0" applyNumberFormat="1" applyFont="1" applyBorder="1"/>
    <xf numFmtId="3" fontId="0" fillId="0" borderId="27" xfId="0" applyNumberFormat="1" applyBorder="1"/>
    <xf numFmtId="0" fontId="15" fillId="5" borderId="32" xfId="0" applyFont="1" applyFill="1" applyBorder="1" applyAlignment="1" applyProtection="1">
      <alignment horizontal="left"/>
    </xf>
    <xf numFmtId="176" fontId="0" fillId="0" borderId="33" xfId="0" applyNumberFormat="1" applyBorder="1"/>
    <xf numFmtId="176" fontId="0" fillId="0" borderId="32" xfId="0" applyNumberFormat="1" applyBorder="1"/>
    <xf numFmtId="176" fontId="0" fillId="0" borderId="34" xfId="0" applyNumberFormat="1" applyBorder="1"/>
    <xf numFmtId="176" fontId="0" fillId="0" borderId="26" xfId="0" applyNumberFormat="1" applyBorder="1"/>
    <xf numFmtId="176" fontId="0" fillId="0" borderId="1" xfId="0" applyNumberFormat="1" applyBorder="1"/>
    <xf numFmtId="176" fontId="0" fillId="0" borderId="27" xfId="0" applyNumberFormat="1" applyBorder="1"/>
    <xf numFmtId="176" fontId="0" fillId="0" borderId="35" xfId="0" applyNumberFormat="1" applyBorder="1"/>
    <xf numFmtId="176" fontId="0" fillId="0" borderId="31" xfId="0" applyNumberFormat="1" applyBorder="1"/>
    <xf numFmtId="176" fontId="0" fillId="0" borderId="36" xfId="0" applyNumberFormat="1" applyBorder="1"/>
    <xf numFmtId="0" fontId="42" fillId="3" borderId="13" xfId="0" applyFont="1" applyFill="1" applyBorder="1"/>
    <xf numFmtId="0" fontId="42" fillId="3" borderId="5" xfId="0" applyFont="1" applyFill="1" applyBorder="1"/>
    <xf numFmtId="0" fontId="11" fillId="3" borderId="8" xfId="0" applyFont="1" applyFill="1" applyBorder="1" applyAlignment="1">
      <alignment horizontal="center"/>
    </xf>
    <xf numFmtId="0" fontId="10" fillId="0" borderId="0" xfId="0" applyFont="1" applyBorder="1"/>
    <xf numFmtId="0" fontId="14" fillId="0" borderId="14" xfId="0" applyFont="1" applyBorder="1"/>
    <xf numFmtId="0" fontId="13" fillId="0" borderId="14" xfId="0" applyFont="1" applyBorder="1"/>
    <xf numFmtId="0" fontId="10" fillId="0" borderId="1" xfId="0" applyFont="1" applyFill="1" applyBorder="1"/>
    <xf numFmtId="0" fontId="10" fillId="0" borderId="14" xfId="0" applyFont="1" applyFill="1" applyBorder="1" applyProtection="1">
      <protection locked="0"/>
    </xf>
    <xf numFmtId="0" fontId="10" fillId="32" borderId="1" xfId="0" applyFont="1" applyFill="1" applyBorder="1" applyProtection="1">
      <protection locked="0"/>
    </xf>
    <xf numFmtId="0" fontId="10" fillId="0" borderId="37" xfId="0" applyFont="1" applyBorder="1"/>
    <xf numFmtId="0" fontId="13" fillId="0" borderId="37" xfId="0" applyFont="1" applyBorder="1"/>
    <xf numFmtId="0" fontId="2" fillId="33" borderId="1" xfId="0" applyFont="1" applyFill="1" applyBorder="1" applyProtection="1"/>
    <xf numFmtId="0" fontId="2" fillId="33" borderId="1" xfId="0" applyFont="1" applyFill="1" applyBorder="1" applyAlignment="1" applyProtection="1">
      <alignment horizontal="center"/>
    </xf>
    <xf numFmtId="176" fontId="2" fillId="33" borderId="1" xfId="12" applyNumberFormat="1" applyFont="1" applyFill="1" applyBorder="1" applyAlignment="1" applyProtection="1">
      <alignment horizontal="center"/>
    </xf>
    <xf numFmtId="0" fontId="2" fillId="33" borderId="1" xfId="0" applyFont="1" applyFill="1" applyBorder="1" applyAlignment="1" applyProtection="1">
      <alignment wrapText="1"/>
    </xf>
    <xf numFmtId="176" fontId="2" fillId="33" borderId="1" xfId="0" applyNumberFormat="1" applyFont="1" applyFill="1" applyBorder="1" applyAlignment="1" applyProtection="1">
      <alignment horizontal="center"/>
    </xf>
    <xf numFmtId="3" fontId="2" fillId="33" borderId="1" xfId="0" applyNumberFormat="1" applyFont="1" applyFill="1" applyBorder="1" applyAlignment="1" applyProtection="1">
      <alignment horizontal="center"/>
    </xf>
    <xf numFmtId="0" fontId="2" fillId="33" borderId="17" xfId="0" applyFont="1" applyFill="1" applyBorder="1" applyAlignment="1" applyProtection="1">
      <alignment wrapText="1"/>
    </xf>
    <xf numFmtId="176" fontId="2" fillId="33" borderId="1" xfId="12" applyNumberFormat="1" applyFont="1" applyFill="1" applyBorder="1" applyAlignment="1" applyProtection="1">
      <alignment horizontal="center" vertical="center"/>
    </xf>
    <xf numFmtId="178" fontId="2" fillId="33" borderId="1" xfId="0" applyNumberFormat="1" applyFont="1" applyFill="1" applyBorder="1" applyAlignment="1" applyProtection="1">
      <alignment horizontal="center"/>
    </xf>
    <xf numFmtId="178" fontId="2" fillId="33" borderId="1" xfId="0" applyNumberFormat="1" applyFont="1" applyFill="1" applyBorder="1" applyAlignment="1" applyProtection="1">
      <alignment wrapText="1"/>
    </xf>
    <xf numFmtId="178" fontId="2" fillId="33" borderId="17" xfId="0" applyNumberFormat="1" applyFont="1" applyFill="1" applyBorder="1" applyAlignment="1" applyProtection="1">
      <alignment wrapText="1"/>
    </xf>
    <xf numFmtId="0" fontId="47" fillId="0" borderId="0" xfId="0" applyFont="1" applyBorder="1"/>
    <xf numFmtId="0" fontId="0" fillId="0" borderId="0" xfId="0" applyBorder="1"/>
    <xf numFmtId="0" fontId="47" fillId="0" borderId="27" xfId="0" applyFont="1" applyBorder="1" applyAlignment="1">
      <alignment horizontal="center"/>
    </xf>
    <xf numFmtId="0" fontId="59" fillId="0" borderId="0" xfId="0" applyFont="1" applyFill="1"/>
    <xf numFmtId="3" fontId="0" fillId="0" borderId="0" xfId="0" applyNumberFormat="1" applyBorder="1"/>
    <xf numFmtId="3" fontId="0" fillId="0" borderId="25" xfId="0" applyNumberFormat="1" applyBorder="1"/>
    <xf numFmtId="0" fontId="0" fillId="0" borderId="25" xfId="0" applyBorder="1"/>
    <xf numFmtId="0" fontId="0" fillId="0" borderId="7" xfId="0" applyBorder="1"/>
    <xf numFmtId="0" fontId="59" fillId="0" borderId="1" xfId="0" applyFont="1" applyFill="1" applyBorder="1"/>
    <xf numFmtId="3" fontId="59" fillId="0" borderId="1" xfId="0" applyNumberFormat="1" applyFont="1" applyFill="1" applyBorder="1"/>
    <xf numFmtId="3" fontId="47" fillId="0" borderId="17" xfId="0" applyNumberFormat="1" applyFont="1" applyBorder="1"/>
    <xf numFmtId="0" fontId="59" fillId="0" borderId="0" xfId="0" applyFont="1" applyFill="1" applyBorder="1"/>
    <xf numFmtId="9" fontId="2" fillId="20" borderId="1" xfId="0" applyNumberFormat="1" applyFont="1" applyFill="1" applyBorder="1" applyAlignment="1" applyProtection="1">
      <alignment horizontal="right"/>
    </xf>
    <xf numFmtId="0" fontId="2" fillId="20" borderId="1" xfId="0" applyFont="1" applyFill="1" applyBorder="1" applyAlignment="1" applyProtection="1">
      <alignment horizontal="right"/>
    </xf>
    <xf numFmtId="9" fontId="2" fillId="20" borderId="1" xfId="10" applyNumberFormat="1" applyFont="1" applyFill="1" applyBorder="1" applyAlignment="1" applyProtection="1">
      <alignment horizontal="right" vertical="center" wrapText="1"/>
    </xf>
    <xf numFmtId="1" fontId="2" fillId="20" borderId="1" xfId="12" applyNumberFormat="1" applyFont="1" applyFill="1" applyBorder="1" applyAlignment="1" applyProtection="1">
      <alignment horizontal="right" vertical="center"/>
    </xf>
    <xf numFmtId="176" fontId="2" fillId="20" borderId="1" xfId="12" applyNumberFormat="1" applyFont="1" applyFill="1" applyBorder="1" applyAlignment="1" applyProtection="1">
      <alignment horizontal="right" vertical="center"/>
    </xf>
    <xf numFmtId="4" fontId="2" fillId="20" borderId="0" xfId="0" applyNumberFormat="1" applyFont="1" applyFill="1" applyBorder="1" applyAlignment="1" applyProtection="1">
      <alignment horizontal="right"/>
    </xf>
    <xf numFmtId="0" fontId="2" fillId="34" borderId="0" xfId="0" applyFont="1" applyFill="1" applyBorder="1" applyProtection="1"/>
    <xf numFmtId="0" fontId="2" fillId="34" borderId="0" xfId="0" applyFont="1" applyFill="1" applyProtection="1"/>
    <xf numFmtId="10" fontId="10" fillId="4" borderId="1" xfId="0" applyNumberFormat="1" applyFont="1" applyFill="1" applyBorder="1" applyAlignment="1" applyProtection="1">
      <alignment horizontal="center"/>
    </xf>
    <xf numFmtId="0" fontId="10" fillId="4" borderId="1" xfId="0" applyFont="1" applyFill="1" applyBorder="1" applyAlignment="1" applyProtection="1">
      <alignment horizontal="center"/>
    </xf>
    <xf numFmtId="3" fontId="10" fillId="4" borderId="6" xfId="0" applyNumberFormat="1" applyFont="1" applyFill="1" applyBorder="1" applyAlignment="1" applyProtection="1">
      <alignment horizontal="center"/>
    </xf>
    <xf numFmtId="176" fontId="10" fillId="4" borderId="6" xfId="12" applyNumberFormat="1" applyFont="1" applyFill="1" applyBorder="1" applyAlignment="1" applyProtection="1">
      <alignment horizontal="center"/>
    </xf>
    <xf numFmtId="9" fontId="10" fillId="4" borderId="6" xfId="0" applyNumberFormat="1" applyFont="1" applyFill="1" applyBorder="1" applyAlignment="1" applyProtection="1">
      <alignment horizontal="center"/>
    </xf>
    <xf numFmtId="3" fontId="10" fillId="4" borderId="30" xfId="0" applyNumberFormat="1" applyFont="1" applyFill="1" applyBorder="1" applyAlignment="1" applyProtection="1">
      <alignment horizontal="center"/>
    </xf>
    <xf numFmtId="3" fontId="10" fillId="4" borderId="1" xfId="0" applyNumberFormat="1" applyFont="1" applyFill="1" applyBorder="1" applyAlignment="1" applyProtection="1">
      <alignment horizontal="center"/>
    </xf>
    <xf numFmtId="3" fontId="10" fillId="5" borderId="1" xfId="0" applyNumberFormat="1" applyFont="1" applyFill="1" applyBorder="1" applyAlignment="1" applyProtection="1">
      <alignment horizontal="center"/>
    </xf>
    <xf numFmtId="3" fontId="45" fillId="0" borderId="1" xfId="14" applyNumberFormat="1" applyFont="1" applyBorder="1"/>
    <xf numFmtId="3" fontId="45" fillId="0" borderId="27" xfId="14" applyNumberFormat="1" applyFont="1" applyBorder="1"/>
    <xf numFmtId="0" fontId="47" fillId="0" borderId="21" xfId="0" applyFont="1" applyBorder="1"/>
    <xf numFmtId="1" fontId="0" fillId="0" borderId="14" xfId="0" applyNumberFormat="1" applyBorder="1"/>
    <xf numFmtId="0" fontId="47" fillId="0" borderId="26" xfId="0" applyFont="1" applyBorder="1" applyAlignment="1">
      <alignment horizontal="center"/>
    </xf>
    <xf numFmtId="178" fontId="58" fillId="32" borderId="27" xfId="15" applyNumberFormat="1" applyFont="1" applyFill="1" applyBorder="1" applyAlignment="1" applyProtection="1">
      <alignment horizontal="right"/>
      <protection locked="0"/>
    </xf>
    <xf numFmtId="0" fontId="0" fillId="27" borderId="1" xfId="0" applyFill="1" applyBorder="1"/>
    <xf numFmtId="178" fontId="58" fillId="17" borderId="27" xfId="15" applyNumberFormat="1" applyFont="1" applyBorder="1" applyAlignment="1" applyProtection="1">
      <alignment horizontal="right"/>
      <protection locked="0"/>
    </xf>
    <xf numFmtId="0" fontId="0" fillId="0" borderId="38" xfId="0" applyBorder="1"/>
    <xf numFmtId="178" fontId="37" fillId="0" borderId="1" xfId="16" applyNumberFormat="1" applyBorder="1"/>
    <xf numFmtId="0" fontId="0" fillId="0" borderId="18" xfId="0" applyBorder="1" applyAlignment="1"/>
    <xf numFmtId="0" fontId="37" fillId="0" borderId="26" xfId="16" applyBorder="1"/>
    <xf numFmtId="0" fontId="15" fillId="0" borderId="27" xfId="16" applyFont="1" applyBorder="1"/>
    <xf numFmtId="0" fontId="2" fillId="0" borderId="26" xfId="16" applyFont="1" applyBorder="1"/>
    <xf numFmtId="3" fontId="37" fillId="0" borderId="27" xfId="16" applyNumberFormat="1" applyBorder="1"/>
    <xf numFmtId="0" fontId="2" fillId="0" borderId="31" xfId="16" applyFont="1" applyBorder="1"/>
    <xf numFmtId="0" fontId="37" fillId="0" borderId="31" xfId="16" applyBorder="1"/>
    <xf numFmtId="3" fontId="37" fillId="0" borderId="36" xfId="16" applyNumberFormat="1" applyBorder="1"/>
    <xf numFmtId="9" fontId="15" fillId="0" borderId="1" xfId="16" applyNumberFormat="1" applyFont="1" applyBorder="1"/>
    <xf numFmtId="0" fontId="37" fillId="0" borderId="0" xfId="16" applyBorder="1"/>
    <xf numFmtId="178" fontId="16" fillId="3" borderId="33" xfId="0" applyNumberFormat="1" applyFont="1" applyFill="1" applyBorder="1" applyProtection="1"/>
    <xf numFmtId="178" fontId="2" fillId="22" borderId="32" xfId="0" applyNumberFormat="1" applyFont="1" applyFill="1" applyBorder="1" applyProtection="1"/>
    <xf numFmtId="0" fontId="2" fillId="5" borderId="26" xfId="0" applyFont="1" applyFill="1" applyBorder="1" applyAlignment="1" applyProtection="1">
      <alignment horizontal="left"/>
    </xf>
    <xf numFmtId="0" fontId="2" fillId="5" borderId="27" xfId="0" applyFont="1" applyFill="1" applyBorder="1" applyProtection="1"/>
    <xf numFmtId="0" fontId="2" fillId="0" borderId="39" xfId="16" applyFont="1" applyBorder="1" applyAlignment="1"/>
    <xf numFmtId="0" fontId="15" fillId="0" borderId="26" xfId="16" applyFont="1" applyBorder="1"/>
    <xf numFmtId="178" fontId="15" fillId="0" borderId="1" xfId="16" applyNumberFormat="1" applyFont="1" applyBorder="1"/>
    <xf numFmtId="178" fontId="15" fillId="0" borderId="27" xfId="16" applyNumberFormat="1" applyFont="1" applyBorder="1"/>
    <xf numFmtId="3" fontId="44" fillId="0" borderId="27" xfId="16" applyNumberFormat="1" applyFont="1" applyBorder="1"/>
    <xf numFmtId="0" fontId="37" fillId="0" borderId="27" xfId="16" applyBorder="1"/>
    <xf numFmtId="3" fontId="15" fillId="0" borderId="27" xfId="16" applyNumberFormat="1" applyFont="1" applyBorder="1"/>
    <xf numFmtId="0" fontId="2" fillId="0" borderId="26" xfId="16" applyFont="1" applyBorder="1" applyAlignment="1">
      <alignment wrapText="1"/>
    </xf>
    <xf numFmtId="0" fontId="15" fillId="0" borderId="35" xfId="16" applyFont="1" applyBorder="1" applyAlignment="1">
      <alignment wrapText="1"/>
    </xf>
    <xf numFmtId="3" fontId="15" fillId="0" borderId="31" xfId="16" applyNumberFormat="1" applyFont="1" applyBorder="1"/>
    <xf numFmtId="3" fontId="37" fillId="0" borderId="31" xfId="16" applyNumberFormat="1" applyBorder="1"/>
    <xf numFmtId="0" fontId="15" fillId="0" borderId="0" xfId="16" applyFont="1" applyBorder="1" applyAlignment="1">
      <alignment wrapText="1"/>
    </xf>
    <xf numFmtId="3" fontId="15" fillId="0" borderId="0" xfId="16" applyNumberFormat="1" applyFont="1" applyBorder="1"/>
    <xf numFmtId="3" fontId="37" fillId="0" borderId="0" xfId="16" applyNumberFormat="1" applyBorder="1"/>
    <xf numFmtId="3" fontId="47" fillId="0" borderId="1" xfId="14" applyNumberFormat="1" applyFont="1" applyBorder="1"/>
    <xf numFmtId="178" fontId="0" fillId="28" borderId="1" xfId="0" applyNumberFormat="1" applyFill="1" applyBorder="1"/>
    <xf numFmtId="178" fontId="0" fillId="20" borderId="1" xfId="0" applyNumberFormat="1" applyFont="1" applyFill="1" applyBorder="1"/>
    <xf numFmtId="0" fontId="10" fillId="32" borderId="4" xfId="0" applyFont="1" applyFill="1" applyBorder="1" applyProtection="1">
      <protection locked="0"/>
    </xf>
    <xf numFmtId="178" fontId="46" fillId="32" borderId="1" xfId="15" applyNumberFormat="1" applyFill="1" applyBorder="1" applyAlignment="1" applyProtection="1">
      <alignment horizontal="right"/>
      <protection locked="0"/>
    </xf>
    <xf numFmtId="178" fontId="56" fillId="35" borderId="1" xfId="0" applyNumberFormat="1" applyFont="1" applyFill="1" applyBorder="1" applyProtection="1"/>
    <xf numFmtId="178" fontId="59" fillId="35" borderId="1" xfId="0" applyNumberFormat="1" applyFont="1" applyFill="1" applyBorder="1" applyProtection="1"/>
    <xf numFmtId="176" fontId="46" fillId="32" borderId="1" xfId="15" applyNumberFormat="1" applyFill="1" applyBorder="1" applyAlignment="1" applyProtection="1">
      <alignment horizontal="right"/>
      <protection locked="0"/>
    </xf>
    <xf numFmtId="9" fontId="46" fillId="32" borderId="1" xfId="12" applyFont="1" applyFill="1" applyBorder="1" applyAlignment="1" applyProtection="1">
      <alignment horizontal="right"/>
      <protection locked="0"/>
    </xf>
    <xf numFmtId="178" fontId="46" fillId="32" borderId="1" xfId="15" applyNumberFormat="1" applyFill="1" applyBorder="1" applyAlignment="1" applyProtection="1">
      <alignment horizontal="left" wrapText="1"/>
      <protection locked="0"/>
    </xf>
    <xf numFmtId="176" fontId="46" fillId="32" borderId="1" xfId="12" applyNumberFormat="1" applyFont="1" applyFill="1" applyBorder="1" applyAlignment="1" applyProtection="1">
      <alignment horizontal="right"/>
      <protection locked="0"/>
    </xf>
    <xf numFmtId="183" fontId="46" fillId="32" borderId="1" xfId="15" applyNumberFormat="1" applyFill="1" applyBorder="1" applyAlignment="1" applyProtection="1">
      <alignment horizontal="right"/>
      <protection locked="0"/>
    </xf>
    <xf numFmtId="199" fontId="46" fillId="32" borderId="1" xfId="15" applyNumberFormat="1" applyFill="1" applyBorder="1" applyAlignment="1" applyProtection="1">
      <alignment horizontal="right"/>
      <protection locked="0"/>
    </xf>
    <xf numFmtId="9" fontId="10" fillId="2" borderId="26" xfId="0" applyNumberFormat="1" applyFont="1" applyFill="1" applyBorder="1" applyAlignment="1" applyProtection="1">
      <alignment horizontal="right"/>
    </xf>
    <xf numFmtId="9" fontId="10" fillId="12" borderId="26" xfId="0" applyNumberFormat="1" applyFont="1" applyFill="1" applyBorder="1" applyAlignment="1" applyProtection="1">
      <alignment horizontal="right"/>
    </xf>
    <xf numFmtId="9" fontId="10" fillId="2" borderId="1" xfId="0" applyNumberFormat="1" applyFont="1" applyFill="1" applyBorder="1" applyAlignment="1" applyProtection="1">
      <alignment horizontal="right"/>
    </xf>
    <xf numFmtId="9" fontId="10" fillId="12" borderId="14" xfId="0" applyNumberFormat="1" applyFon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/>
    <xf numFmtId="176" fontId="0" fillId="20" borderId="1" xfId="0" applyNumberFormat="1" applyFont="1" applyFill="1" applyBorder="1"/>
    <xf numFmtId="10" fontId="46" fillId="32" borderId="1" xfId="12" applyNumberFormat="1" applyFont="1" applyFill="1" applyBorder="1" applyAlignment="1" applyProtection="1">
      <alignment horizontal="right"/>
      <protection locked="0"/>
    </xf>
    <xf numFmtId="10" fontId="0" fillId="29" borderId="1" xfId="0" applyNumberFormat="1" applyFont="1" applyFill="1" applyBorder="1"/>
    <xf numFmtId="3" fontId="40" fillId="0" borderId="0" xfId="12" applyNumberFormat="1" applyFont="1" applyFill="1" applyBorder="1" applyProtection="1"/>
    <xf numFmtId="197" fontId="52" fillId="0" borderId="0" xfId="12" applyNumberFormat="1" applyFont="1" applyFill="1" applyBorder="1" applyProtection="1"/>
    <xf numFmtId="10" fontId="2" fillId="0" borderId="0" xfId="12" applyNumberFormat="1" applyFont="1" applyFill="1" applyBorder="1" applyProtection="1"/>
    <xf numFmtId="201" fontId="2" fillId="0" borderId="1" xfId="12" applyNumberFormat="1" applyFont="1" applyBorder="1" applyAlignment="1" applyProtection="1">
      <alignment horizontal="center"/>
    </xf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60" fillId="0" borderId="0" xfId="0" applyFont="1"/>
    <xf numFmtId="0" fontId="14" fillId="0" borderId="40" xfId="0" applyFont="1" applyBorder="1"/>
    <xf numFmtId="0" fontId="10" fillId="0" borderId="41" xfId="0" applyFont="1" applyBorder="1"/>
    <xf numFmtId="0" fontId="11" fillId="3" borderId="42" xfId="0" applyFont="1" applyFill="1" applyBorder="1"/>
    <xf numFmtId="0" fontId="10" fillId="3" borderId="43" xfId="0" applyFont="1" applyFill="1" applyBorder="1"/>
    <xf numFmtId="0" fontId="10" fillId="0" borderId="24" xfId="0" applyFont="1" applyFill="1" applyBorder="1"/>
    <xf numFmtId="0" fontId="14" fillId="0" borderId="0" xfId="0" applyFont="1" applyFill="1" applyBorder="1"/>
    <xf numFmtId="0" fontId="13" fillId="3" borderId="44" xfId="0" applyFont="1" applyFill="1" applyBorder="1" applyAlignment="1">
      <alignment horizontal="center"/>
    </xf>
    <xf numFmtId="0" fontId="10" fillId="0" borderId="45" xfId="0" applyFont="1" applyBorder="1"/>
    <xf numFmtId="0" fontId="10" fillId="0" borderId="27" xfId="0" applyFont="1" applyFill="1" applyBorder="1" applyProtection="1"/>
    <xf numFmtId="0" fontId="10" fillId="0" borderId="24" xfId="0" applyFont="1" applyBorder="1"/>
    <xf numFmtId="0" fontId="10" fillId="0" borderId="27" xfId="0" applyFont="1" applyFill="1" applyBorder="1"/>
    <xf numFmtId="0" fontId="10" fillId="0" borderId="46" xfId="0" applyFont="1" applyBorder="1"/>
    <xf numFmtId="0" fontId="10" fillId="0" borderId="27" xfId="0" applyNumberFormat="1" applyFont="1" applyFill="1" applyBorder="1" applyProtection="1"/>
    <xf numFmtId="0" fontId="13" fillId="0" borderId="0" xfId="0" applyFont="1" applyBorder="1"/>
    <xf numFmtId="0" fontId="10" fillId="0" borderId="29" xfId="0" applyNumberFormat="1" applyFont="1" applyFill="1" applyBorder="1" applyProtection="1"/>
    <xf numFmtId="0" fontId="10" fillId="0" borderId="47" xfId="0" applyFont="1" applyBorder="1"/>
    <xf numFmtId="0" fontId="11" fillId="7" borderId="48" xfId="0" applyNumberFormat="1" applyFont="1" applyFill="1" applyBorder="1" applyProtection="1"/>
    <xf numFmtId="0" fontId="10" fillId="0" borderId="25" xfId="0" applyFont="1" applyBorder="1"/>
    <xf numFmtId="0" fontId="11" fillId="3" borderId="46" xfId="0" applyFont="1" applyFill="1" applyBorder="1"/>
    <xf numFmtId="0" fontId="10" fillId="3" borderId="49" xfId="0" applyFont="1" applyFill="1" applyBorder="1"/>
    <xf numFmtId="0" fontId="11" fillId="0" borderId="24" xfId="0" applyFont="1" applyFill="1" applyBorder="1"/>
    <xf numFmtId="0" fontId="13" fillId="3" borderId="29" xfId="0" applyFont="1" applyFill="1" applyBorder="1" applyAlignment="1">
      <alignment horizontal="center"/>
    </xf>
    <xf numFmtId="0" fontId="14" fillId="0" borderId="0" xfId="0" applyFont="1" applyBorder="1"/>
    <xf numFmtId="0" fontId="10" fillId="32" borderId="25" xfId="0" applyFont="1" applyFill="1" applyBorder="1" applyProtection="1"/>
    <xf numFmtId="0" fontId="10" fillId="0" borderId="50" xfId="0" applyFont="1" applyBorder="1"/>
    <xf numFmtId="174" fontId="11" fillId="7" borderId="51" xfId="10" applyFont="1" applyFill="1" applyBorder="1"/>
    <xf numFmtId="0" fontId="10" fillId="0" borderId="52" xfId="0" applyFont="1" applyBorder="1"/>
    <xf numFmtId="0" fontId="13" fillId="0" borderId="53" xfId="0" applyFont="1" applyFill="1" applyBorder="1" applyAlignment="1">
      <alignment vertical="center"/>
    </xf>
    <xf numFmtId="0" fontId="10" fillId="0" borderId="54" xfId="0" applyFont="1" applyBorder="1"/>
    <xf numFmtId="175" fontId="11" fillId="7" borderId="55" xfId="0" applyNumberFormat="1" applyFont="1" applyFill="1" applyBorder="1"/>
    <xf numFmtId="0" fontId="0" fillId="0" borderId="33" xfId="0" applyBorder="1"/>
    <xf numFmtId="0" fontId="47" fillId="0" borderId="32" xfId="0" applyFont="1" applyBorder="1"/>
    <xf numFmtId="0" fontId="0" fillId="36" borderId="32" xfId="0" applyFill="1" applyBorder="1"/>
    <xf numFmtId="0" fontId="0" fillId="36" borderId="34" xfId="0" applyFill="1" applyBorder="1"/>
    <xf numFmtId="1" fontId="0" fillId="0" borderId="1" xfId="0" applyNumberFormat="1" applyBorder="1"/>
    <xf numFmtId="3" fontId="47" fillId="0" borderId="27" xfId="14" applyNumberFormat="1" applyFont="1" applyBorder="1"/>
    <xf numFmtId="3" fontId="47" fillId="27" borderId="1" xfId="14" applyNumberFormat="1" applyFont="1" applyFill="1" applyBorder="1"/>
    <xf numFmtId="3" fontId="47" fillId="27" borderId="27" xfId="14" applyNumberFormat="1" applyFont="1" applyFill="1" applyBorder="1"/>
    <xf numFmtId="0" fontId="0" fillId="0" borderId="35" xfId="0" applyBorder="1"/>
    <xf numFmtId="3" fontId="45" fillId="0" borderId="31" xfId="14" applyNumberFormat="1" applyFont="1" applyBorder="1"/>
    <xf numFmtId="3" fontId="45" fillId="0" borderId="36" xfId="14" applyNumberFormat="1" applyFont="1" applyBorder="1"/>
    <xf numFmtId="0" fontId="0" fillId="0" borderId="39" xfId="0" applyBorder="1"/>
    <xf numFmtId="178" fontId="58" fillId="17" borderId="36" xfId="15" applyNumberFormat="1" applyFont="1" applyBorder="1" applyAlignment="1" applyProtection="1">
      <alignment horizontal="right"/>
      <protection locked="0"/>
    </xf>
    <xf numFmtId="0" fontId="17" fillId="0" borderId="1" xfId="0" applyFont="1" applyFill="1" applyBorder="1" applyProtection="1"/>
    <xf numFmtId="178" fontId="2" fillId="20" borderId="1" xfId="0" applyNumberFormat="1" applyFont="1" applyFill="1" applyBorder="1" applyAlignment="1" applyProtection="1">
      <alignment horizontal="right"/>
    </xf>
    <xf numFmtId="0" fontId="55" fillId="0" borderId="1" xfId="0" applyFont="1" applyBorder="1" applyAlignment="1">
      <alignment horizontal="center" wrapText="1"/>
    </xf>
    <xf numFmtId="178" fontId="61" fillId="32" borderId="1" xfId="15" applyNumberFormat="1" applyFont="1" applyFill="1" applyBorder="1" applyAlignment="1" applyProtection="1">
      <alignment horizontal="center" wrapText="1"/>
      <protection locked="0"/>
    </xf>
    <xf numFmtId="0" fontId="47" fillId="32" borderId="0" xfId="0" applyFont="1" applyFill="1" applyProtection="1">
      <protection locked="0"/>
    </xf>
    <xf numFmtId="178" fontId="58" fillId="17" borderId="31" xfId="15" applyNumberFormat="1" applyFont="1" applyBorder="1" applyAlignment="1" applyProtection="1">
      <alignment horizontal="right"/>
    </xf>
    <xf numFmtId="3" fontId="0" fillId="32" borderId="1" xfId="0" applyNumberFormat="1" applyFill="1" applyBorder="1" applyProtection="1">
      <protection locked="0"/>
    </xf>
    <xf numFmtId="3" fontId="0" fillId="32" borderId="27" xfId="0" applyNumberFormat="1" applyFill="1" applyBorder="1" applyProtection="1">
      <protection locked="0"/>
    </xf>
    <xf numFmtId="0" fontId="0" fillId="32" borderId="1" xfId="0" applyFill="1" applyBorder="1" applyProtection="1">
      <protection locked="0"/>
    </xf>
    <xf numFmtId="0" fontId="0" fillId="32" borderId="19" xfId="0" applyFill="1" applyBorder="1" applyProtection="1">
      <protection locked="0"/>
    </xf>
    <xf numFmtId="0" fontId="0" fillId="0" borderId="27" xfId="0" applyBorder="1" applyProtection="1">
      <protection locked="0"/>
    </xf>
    <xf numFmtId="0" fontId="15" fillId="0" borderId="0" xfId="16" applyFont="1" applyProtection="1">
      <protection locked="0"/>
    </xf>
    <xf numFmtId="178" fontId="37" fillId="32" borderId="1" xfId="16" applyNumberFormat="1" applyFill="1" applyBorder="1" applyProtection="1">
      <protection locked="0"/>
    </xf>
    <xf numFmtId="9" fontId="37" fillId="32" borderId="1" xfId="16" applyNumberFormat="1" applyFill="1" applyBorder="1" applyProtection="1">
      <protection locked="0"/>
    </xf>
    <xf numFmtId="3" fontId="37" fillId="32" borderId="1" xfId="16" applyNumberFormat="1" applyFill="1" applyBorder="1" applyProtection="1">
      <protection locked="0"/>
    </xf>
    <xf numFmtId="3" fontId="2" fillId="32" borderId="1" xfId="16" applyNumberFormat="1" applyFont="1" applyFill="1" applyBorder="1" applyProtection="1">
      <protection locked="0"/>
    </xf>
    <xf numFmtId="9" fontId="15" fillId="32" borderId="1" xfId="16" applyNumberFormat="1" applyFont="1" applyFill="1" applyBorder="1" applyProtection="1">
      <protection locked="0"/>
    </xf>
    <xf numFmtId="4" fontId="37" fillId="32" borderId="1" xfId="16" applyNumberFormat="1" applyFill="1" applyBorder="1" applyProtection="1">
      <protection locked="0"/>
    </xf>
    <xf numFmtId="0" fontId="37" fillId="32" borderId="1" xfId="16" applyFill="1" applyBorder="1" applyProtection="1">
      <protection locked="0"/>
    </xf>
    <xf numFmtId="0" fontId="37" fillId="32" borderId="27" xfId="16" applyFill="1" applyBorder="1" applyProtection="1">
      <protection locked="0"/>
    </xf>
    <xf numFmtId="0" fontId="37" fillId="0" borderId="1" xfId="16" applyBorder="1" applyProtection="1">
      <protection locked="0"/>
    </xf>
    <xf numFmtId="9" fontId="2" fillId="32" borderId="1" xfId="12" applyFont="1" applyFill="1" applyBorder="1" applyProtection="1">
      <protection locked="0"/>
    </xf>
    <xf numFmtId="0" fontId="11" fillId="32" borderId="38" xfId="0" applyFont="1" applyFill="1" applyBorder="1" applyProtection="1">
      <protection locked="0"/>
    </xf>
    <xf numFmtId="0" fontId="11" fillId="32" borderId="1" xfId="0" applyFont="1" applyFill="1" applyBorder="1" applyProtection="1">
      <protection locked="0"/>
    </xf>
    <xf numFmtId="0" fontId="11" fillId="37" borderId="56" xfId="0" applyFont="1" applyFill="1" applyBorder="1" applyProtection="1">
      <protection locked="0"/>
    </xf>
    <xf numFmtId="0" fontId="11" fillId="37" borderId="6" xfId="0" applyFont="1" applyFill="1" applyBorder="1" applyProtection="1">
      <protection locked="0"/>
    </xf>
    <xf numFmtId="0" fontId="11" fillId="37" borderId="57" xfId="0" applyFont="1" applyFill="1" applyBorder="1" applyProtection="1">
      <protection locked="0"/>
    </xf>
    <xf numFmtId="0" fontId="11" fillId="37" borderId="30" xfId="0" applyFont="1" applyFill="1" applyBorder="1" applyProtection="1">
      <protection locked="0"/>
    </xf>
    <xf numFmtId="0" fontId="11" fillId="37" borderId="58" xfId="0" applyFont="1" applyFill="1" applyBorder="1" applyProtection="1">
      <protection locked="0"/>
    </xf>
    <xf numFmtId="0" fontId="11" fillId="37" borderId="49" xfId="0" applyFont="1" applyFill="1" applyBorder="1" applyProtection="1">
      <protection locked="0"/>
    </xf>
    <xf numFmtId="0" fontId="14" fillId="32" borderId="1" xfId="0" applyFont="1" applyFill="1" applyBorder="1" applyProtection="1">
      <protection locked="0"/>
    </xf>
    <xf numFmtId="0" fontId="14" fillId="32" borderId="27" xfId="0" applyFont="1" applyFill="1" applyBorder="1" applyProtection="1">
      <protection locked="0"/>
    </xf>
    <xf numFmtId="0" fontId="11" fillId="32" borderId="27" xfId="0" applyFont="1" applyFill="1" applyBorder="1" applyProtection="1">
      <protection locked="0"/>
    </xf>
    <xf numFmtId="0" fontId="11" fillId="32" borderId="19" xfId="0" applyFont="1" applyFill="1" applyBorder="1" applyProtection="1">
      <protection locked="0"/>
    </xf>
    <xf numFmtId="0" fontId="11" fillId="32" borderId="59" xfId="0" applyFont="1" applyFill="1" applyBorder="1" applyProtection="1">
      <protection locked="0"/>
    </xf>
    <xf numFmtId="0" fontId="0" fillId="0" borderId="29" xfId="0" applyBorder="1" applyAlignment="1"/>
    <xf numFmtId="2" fontId="58" fillId="32" borderId="27" xfId="15" applyNumberFormat="1" applyFont="1" applyFill="1" applyBorder="1" applyAlignment="1" applyProtection="1">
      <alignment horizontal="right"/>
      <protection locked="0"/>
    </xf>
    <xf numFmtId="178" fontId="2" fillId="22" borderId="34" xfId="0" applyNumberFormat="1" applyFont="1" applyFill="1" applyBorder="1" applyProtection="1"/>
    <xf numFmtId="178" fontId="37" fillId="0" borderId="27" xfId="16" applyNumberFormat="1" applyBorder="1"/>
    <xf numFmtId="178" fontId="37" fillId="32" borderId="27" xfId="16" applyNumberFormat="1" applyFill="1" applyBorder="1" applyProtection="1">
      <protection locked="0"/>
    </xf>
    <xf numFmtId="0" fontId="2" fillId="0" borderId="35" xfId="16" applyFont="1" applyBorder="1"/>
    <xf numFmtId="10" fontId="50" fillId="31" borderId="1" xfId="12" applyNumberFormat="1" applyFont="1" applyFill="1" applyBorder="1" applyAlignment="1">
      <alignment horizontal="center"/>
    </xf>
    <xf numFmtId="176" fontId="2" fillId="0" borderId="1" xfId="12" applyNumberFormat="1" applyFont="1" applyBorder="1" applyAlignment="1" applyProtection="1">
      <alignment horizontal="center"/>
    </xf>
    <xf numFmtId="0" fontId="47" fillId="0" borderId="33" xfId="0" applyFont="1" applyBorder="1"/>
    <xf numFmtId="0" fontId="47" fillId="0" borderId="32" xfId="0" applyFont="1" applyBorder="1"/>
    <xf numFmtId="0" fontId="15" fillId="5" borderId="34" xfId="0" applyFont="1" applyFill="1" applyBorder="1" applyAlignment="1" applyProtection="1">
      <alignment horizontal="left"/>
    </xf>
    <xf numFmtId="1" fontId="0" fillId="0" borderId="26" xfId="0" applyNumberFormat="1" applyBorder="1"/>
    <xf numFmtId="3" fontId="0" fillId="0" borderId="31" xfId="0" applyNumberFormat="1" applyBorder="1"/>
    <xf numFmtId="0" fontId="0" fillId="0" borderId="33" xfId="0" applyBorder="1"/>
    <xf numFmtId="0" fontId="0" fillId="0" borderId="32" xfId="0" applyBorder="1"/>
    <xf numFmtId="3" fontId="0" fillId="0" borderId="32" xfId="0" applyNumberFormat="1" applyBorder="1"/>
    <xf numFmtId="3" fontId="0" fillId="0" borderId="34" xfId="0" applyNumberFormat="1" applyBorder="1"/>
    <xf numFmtId="0" fontId="47" fillId="0" borderId="35" xfId="0" applyFont="1" applyBorder="1"/>
    <xf numFmtId="0" fontId="47" fillId="0" borderId="31" xfId="0" applyFont="1" applyBorder="1"/>
    <xf numFmtId="3" fontId="47" fillId="0" borderId="31" xfId="0" applyNumberFormat="1" applyFont="1" applyFill="1" applyBorder="1"/>
    <xf numFmtId="3" fontId="47" fillId="0" borderId="36" xfId="0" applyNumberFormat="1" applyFont="1" applyFill="1" applyBorder="1"/>
    <xf numFmtId="1" fontId="47" fillId="0" borderId="31" xfId="0" applyNumberFormat="1" applyFont="1" applyBorder="1"/>
    <xf numFmtId="3" fontId="47" fillId="0" borderId="31" xfId="0" applyNumberFormat="1" applyFont="1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29" xfId="0" applyBorder="1"/>
    <xf numFmtId="179" fontId="10" fillId="2" borderId="1" xfId="10" applyNumberFormat="1" applyFont="1" applyFill="1" applyBorder="1"/>
    <xf numFmtId="0" fontId="62" fillId="0" borderId="1" xfId="0" applyFont="1" applyBorder="1"/>
    <xf numFmtId="0" fontId="63" fillId="0" borderId="1" xfId="0" applyFont="1" applyBorder="1" applyAlignment="1">
      <alignment wrapText="1"/>
    </xf>
    <xf numFmtId="178" fontId="59" fillId="38" borderId="1" xfId="0" applyNumberFormat="1" applyFont="1" applyFill="1" applyBorder="1" applyProtection="1"/>
    <xf numFmtId="178" fontId="56" fillId="38" borderId="1" xfId="0" applyNumberFormat="1" applyFont="1" applyFill="1" applyBorder="1" applyProtection="1"/>
    <xf numFmtId="0" fontId="0" fillId="0" borderId="1" xfId="0" applyFont="1" applyBorder="1"/>
    <xf numFmtId="178" fontId="56" fillId="38" borderId="1" xfId="0" applyNumberFormat="1" applyFont="1" applyFill="1" applyBorder="1" applyAlignment="1" applyProtection="1">
      <alignment wrapText="1"/>
    </xf>
    <xf numFmtId="0" fontId="0" fillId="21" borderId="1" xfId="0" applyFill="1" applyBorder="1"/>
    <xf numFmtId="0" fontId="47" fillId="22" borderId="1" xfId="0" applyFont="1" applyFill="1" applyBorder="1"/>
    <xf numFmtId="0" fontId="0" fillId="22" borderId="1" xfId="0" applyFill="1" applyBorder="1"/>
    <xf numFmtId="0" fontId="47" fillId="20" borderId="1" xfId="0" applyFont="1" applyFill="1" applyBorder="1"/>
    <xf numFmtId="0" fontId="0" fillId="20" borderId="1" xfId="0" applyFill="1" applyBorder="1"/>
    <xf numFmtId="0" fontId="47" fillId="29" borderId="1" xfId="0" applyFont="1" applyFill="1" applyBorder="1"/>
    <xf numFmtId="0" fontId="0" fillId="29" borderId="1" xfId="0" applyFill="1" applyBorder="1"/>
    <xf numFmtId="0" fontId="47" fillId="18" borderId="1" xfId="0" applyFont="1" applyFill="1" applyBorder="1"/>
    <xf numFmtId="0" fontId="0" fillId="18" borderId="1" xfId="0" applyFill="1" applyBorder="1"/>
    <xf numFmtId="0" fontId="0" fillId="39" borderId="1" xfId="0" applyFill="1" applyBorder="1"/>
    <xf numFmtId="0" fontId="0" fillId="40" borderId="1" xfId="0" applyFont="1" applyFill="1" applyBorder="1"/>
    <xf numFmtId="179" fontId="11" fillId="2" borderId="1" xfId="10" applyNumberFormat="1" applyFont="1" applyFill="1" applyBorder="1"/>
    <xf numFmtId="0" fontId="64" fillId="0" borderId="1" xfId="0" applyFont="1" applyBorder="1" applyAlignment="1">
      <alignment horizontal="center" vertical="center" readingOrder="1"/>
    </xf>
    <xf numFmtId="0" fontId="10" fillId="0" borderId="1" xfId="0" applyFont="1" applyBorder="1" applyProtection="1"/>
    <xf numFmtId="0" fontId="0" fillId="0" borderId="1" xfId="0" applyFont="1" applyFill="1" applyBorder="1"/>
    <xf numFmtId="0" fontId="15" fillId="15" borderId="1" xfId="18" applyFont="1" applyFill="1" applyBorder="1"/>
    <xf numFmtId="0" fontId="0" fillId="40" borderId="1" xfId="0" applyFont="1" applyFill="1" applyBorder="1" applyAlignment="1">
      <alignment wrapText="1"/>
    </xf>
    <xf numFmtId="0" fontId="0" fillId="40" borderId="1" xfId="0" applyFont="1" applyFill="1" applyBorder="1" applyAlignment="1">
      <alignment horizontal="left" wrapText="1"/>
    </xf>
    <xf numFmtId="0" fontId="65" fillId="40" borderId="1" xfId="0" applyFont="1" applyFill="1" applyBorder="1"/>
    <xf numFmtId="0" fontId="2" fillId="0" borderId="1" xfId="18" applyFont="1" applyFill="1" applyBorder="1"/>
    <xf numFmtId="0" fontId="14" fillId="0" borderId="1" xfId="0" applyFont="1" applyFill="1" applyBorder="1" applyAlignment="1">
      <alignment vertical="center"/>
    </xf>
    <xf numFmtId="179" fontId="10" fillId="0" borderId="1" xfId="10" applyNumberFormat="1" applyFont="1" applyFill="1" applyBorder="1"/>
    <xf numFmtId="0" fontId="65" fillId="0" borderId="1" xfId="0" applyFont="1" applyBorder="1"/>
    <xf numFmtId="179" fontId="12" fillId="0" borderId="1" xfId="10" applyNumberFormat="1" applyFont="1" applyFill="1" applyBorder="1"/>
    <xf numFmtId="0" fontId="66" fillId="40" borderId="1" xfId="0" applyFont="1" applyFill="1" applyBorder="1" applyAlignment="1">
      <alignment wrapText="1"/>
    </xf>
    <xf numFmtId="0" fontId="47" fillId="41" borderId="1" xfId="0" applyFont="1" applyFill="1" applyBorder="1"/>
    <xf numFmtId="0" fontId="37" fillId="0" borderId="1" xfId="18" applyBorder="1"/>
    <xf numFmtId="9" fontId="0" fillId="0" borderId="2" xfId="0" applyNumberFormat="1" applyBorder="1"/>
    <xf numFmtId="9" fontId="0" fillId="0" borderId="7" xfId="0" applyNumberFormat="1" applyBorder="1"/>
    <xf numFmtId="10" fontId="0" fillId="0" borderId="44" xfId="0" applyNumberFormat="1" applyBorder="1"/>
    <xf numFmtId="0" fontId="0" fillId="0" borderId="3" xfId="0" applyBorder="1"/>
    <xf numFmtId="0" fontId="0" fillId="0" borderId="63" xfId="0" applyBorder="1"/>
    <xf numFmtId="0" fontId="0" fillId="0" borderId="12" xfId="0" applyBorder="1"/>
    <xf numFmtId="0" fontId="0" fillId="0" borderId="58" xfId="0" applyBorder="1"/>
    <xf numFmtId="0" fontId="47" fillId="0" borderId="3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25" xfId="0" applyFont="1" applyBorder="1" applyAlignment="1">
      <alignment horizontal="center"/>
    </xf>
    <xf numFmtId="3" fontId="0" fillId="0" borderId="3" xfId="0" applyNumberFormat="1" applyBorder="1"/>
    <xf numFmtId="10" fontId="45" fillId="0" borderId="3" xfId="12" applyNumberFormat="1" applyFont="1" applyBorder="1"/>
    <xf numFmtId="10" fontId="45" fillId="0" borderId="0" xfId="12" applyNumberFormat="1" applyFont="1" applyBorder="1"/>
    <xf numFmtId="10" fontId="45" fillId="0" borderId="25" xfId="12" applyNumberFormat="1" applyFont="1" applyBorder="1"/>
    <xf numFmtId="176" fontId="0" fillId="0" borderId="3" xfId="0" applyNumberFormat="1" applyBorder="1"/>
    <xf numFmtId="176" fontId="0" fillId="0" borderId="0" xfId="0" applyNumberFormat="1" applyBorder="1"/>
    <xf numFmtId="176" fontId="0" fillId="0" borderId="25" xfId="0" applyNumberFormat="1" applyBorder="1"/>
    <xf numFmtId="2" fontId="0" fillId="0" borderId="1" xfId="0" applyNumberFormat="1" applyBorder="1"/>
    <xf numFmtId="9" fontId="0" fillId="0" borderId="27" xfId="0" applyNumberFormat="1" applyBorder="1"/>
    <xf numFmtId="2" fontId="0" fillId="0" borderId="27" xfId="0" applyNumberFormat="1" applyBorder="1"/>
    <xf numFmtId="3" fontId="47" fillId="0" borderId="36" xfId="0" applyNumberFormat="1" applyFont="1" applyBorder="1"/>
    <xf numFmtId="3" fontId="47" fillId="0" borderId="27" xfId="0" applyNumberFormat="1" applyFont="1" applyFill="1" applyBorder="1"/>
    <xf numFmtId="3" fontId="0" fillId="0" borderId="36" xfId="0" applyNumberFormat="1" applyBorder="1"/>
    <xf numFmtId="1" fontId="47" fillId="0" borderId="0" xfId="0" applyNumberFormat="1" applyFont="1" applyBorder="1"/>
    <xf numFmtId="3" fontId="47" fillId="0" borderId="27" xfId="0" applyNumberFormat="1" applyFont="1" applyBorder="1"/>
    <xf numFmtId="0" fontId="0" fillId="0" borderId="45" xfId="0" applyBorder="1"/>
    <xf numFmtId="0" fontId="0" fillId="0" borderId="44" xfId="0" applyBorder="1"/>
    <xf numFmtId="3" fontId="59" fillId="0" borderId="27" xfId="0" applyNumberFormat="1" applyFont="1" applyFill="1" applyBorder="1"/>
    <xf numFmtId="0" fontId="11" fillId="32" borderId="0" xfId="18" applyFont="1" applyFill="1" applyAlignment="1" applyProtection="1">
      <alignment vertical="center"/>
      <protection locked="0"/>
    </xf>
    <xf numFmtId="0" fontId="2" fillId="0" borderId="64" xfId="19" applyBorder="1"/>
    <xf numFmtId="0" fontId="2" fillId="0" borderId="65" xfId="19" applyBorder="1"/>
    <xf numFmtId="0" fontId="33" fillId="0" borderId="66" xfId="20" applyFont="1" applyFill="1" applyBorder="1" applyAlignment="1">
      <alignment vertical="center"/>
    </xf>
    <xf numFmtId="0" fontId="33" fillId="0" borderId="67" xfId="20" applyFont="1" applyFill="1" applyBorder="1" applyAlignment="1">
      <alignment vertical="center"/>
    </xf>
    <xf numFmtId="0" fontId="30" fillId="0" borderId="67" xfId="20" applyFont="1" applyFill="1" applyBorder="1" applyAlignment="1">
      <alignment vertical="center"/>
    </xf>
    <xf numFmtId="0" fontId="19" fillId="0" borderId="67" xfId="20" applyFill="1" applyBorder="1" applyAlignment="1">
      <alignment vertical="center"/>
    </xf>
    <xf numFmtId="0" fontId="2" fillId="0" borderId="68" xfId="19" applyFill="1" applyBorder="1" applyAlignment="1">
      <alignment vertical="center"/>
    </xf>
    <xf numFmtId="0" fontId="33" fillId="0" borderId="69" xfId="20" applyFont="1" applyFill="1" applyBorder="1" applyAlignment="1">
      <alignment vertical="center"/>
    </xf>
    <xf numFmtId="0" fontId="33" fillId="0" borderId="0" xfId="20" applyFont="1" applyFill="1" applyBorder="1" applyAlignment="1">
      <alignment vertical="center"/>
    </xf>
    <xf numFmtId="0" fontId="30" fillId="0" borderId="0" xfId="20" applyFont="1" applyFill="1" applyBorder="1" applyAlignment="1">
      <alignment vertical="center"/>
    </xf>
    <xf numFmtId="0" fontId="2" fillId="0" borderId="70" xfId="19" applyFill="1" applyBorder="1" applyAlignment="1">
      <alignment vertical="center"/>
    </xf>
    <xf numFmtId="0" fontId="31" fillId="8" borderId="71" xfId="20" applyFont="1" applyFill="1" applyBorder="1" applyAlignment="1">
      <alignment horizontal="center" vertical="center"/>
    </xf>
    <xf numFmtId="0" fontId="31" fillId="8" borderId="72" xfId="20" applyFont="1" applyFill="1" applyBorder="1" applyAlignment="1">
      <alignment horizontal="left" vertical="center" indent="1"/>
    </xf>
    <xf numFmtId="0" fontId="2" fillId="5" borderId="69" xfId="19" applyFont="1" applyFill="1" applyBorder="1" applyAlignment="1">
      <alignment horizontal="center" vertical="center" wrapText="1"/>
    </xf>
    <xf numFmtId="0" fontId="2" fillId="5" borderId="0" xfId="19" applyFont="1" applyFill="1" applyBorder="1" applyAlignment="1">
      <alignment horizontal="center" vertical="center" wrapText="1"/>
    </xf>
    <xf numFmtId="0" fontId="2" fillId="5" borderId="70" xfId="19" applyFont="1" applyFill="1" applyBorder="1" applyAlignment="1">
      <alignment horizontal="center" vertical="center" wrapText="1"/>
    </xf>
    <xf numFmtId="191" fontId="21" fillId="0" borderId="73" xfId="19" applyNumberFormat="1" applyFont="1" applyBorder="1" applyAlignment="1">
      <alignment horizontal="center"/>
    </xf>
    <xf numFmtId="14" fontId="21" fillId="0" borderId="74" xfId="19" applyNumberFormat="1" applyFont="1" applyBorder="1" applyAlignment="1">
      <alignment horizontal="center"/>
    </xf>
    <xf numFmtId="191" fontId="21" fillId="0" borderId="75" xfId="19" applyNumberFormat="1" applyFont="1" applyBorder="1" applyAlignment="1">
      <alignment horizontal="center"/>
    </xf>
    <xf numFmtId="192" fontId="21" fillId="0" borderId="76" xfId="19" applyNumberFormat="1" applyFont="1" applyBorder="1" applyAlignment="1">
      <alignment horizontal="center"/>
    </xf>
    <xf numFmtId="14" fontId="21" fillId="2" borderId="76" xfId="19" applyNumberFormat="1" applyFont="1" applyFill="1" applyBorder="1" applyAlignment="1">
      <alignment horizontal="center"/>
    </xf>
    <xf numFmtId="10" fontId="21" fillId="2" borderId="76" xfId="12" applyNumberFormat="1" applyFont="1" applyFill="1" applyBorder="1" applyAlignment="1">
      <alignment horizontal="center"/>
    </xf>
    <xf numFmtId="1" fontId="21" fillId="2" borderId="76" xfId="19" applyNumberFormat="1" applyFont="1" applyFill="1" applyBorder="1" applyAlignment="1">
      <alignment horizontal="center"/>
    </xf>
    <xf numFmtId="14" fontId="21" fillId="0" borderId="77" xfId="19" applyNumberFormat="1" applyFont="1" applyBorder="1" applyAlignment="1">
      <alignment horizontal="center"/>
    </xf>
    <xf numFmtId="0" fontId="26" fillId="8" borderId="78" xfId="20" applyFont="1" applyFill="1" applyBorder="1" applyAlignment="1">
      <alignment vertical="center"/>
    </xf>
    <xf numFmtId="0" fontId="27" fillId="8" borderId="22" xfId="20" applyFont="1" applyFill="1" applyBorder="1" applyAlignment="1">
      <alignment vertical="center"/>
    </xf>
    <xf numFmtId="0" fontId="28" fillId="8" borderId="22" xfId="20" applyFont="1" applyFill="1" applyBorder="1" applyAlignment="1">
      <alignment vertical="center"/>
    </xf>
    <xf numFmtId="0" fontId="29" fillId="8" borderId="22" xfId="20" applyFont="1" applyFill="1" applyBorder="1" applyAlignment="1">
      <alignment vertical="center"/>
    </xf>
    <xf numFmtId="0" fontId="29" fillId="8" borderId="23" xfId="20" applyFont="1" applyFill="1" applyBorder="1" applyAlignment="1">
      <alignment vertical="center"/>
    </xf>
    <xf numFmtId="190" fontId="2" fillId="2" borderId="79" xfId="17" applyNumberFormat="1" applyFont="1" applyFill="1" applyBorder="1" applyAlignment="1">
      <alignment horizontal="center"/>
    </xf>
    <xf numFmtId="190" fontId="2" fillId="2" borderId="0" xfId="17" applyNumberFormat="1" applyFont="1" applyFill="1" applyBorder="1" applyAlignment="1">
      <alignment horizontal="center"/>
    </xf>
    <xf numFmtId="10" fontId="58" fillId="32" borderId="27" xfId="15" applyNumberFormat="1" applyFont="1" applyFill="1" applyBorder="1" applyAlignment="1" applyProtection="1">
      <alignment horizontal="right"/>
      <protection locked="0"/>
    </xf>
    <xf numFmtId="10" fontId="58" fillId="32" borderId="27" xfId="12" applyNumberFormat="1" applyFont="1" applyFill="1" applyBorder="1" applyAlignment="1" applyProtection="1">
      <alignment horizontal="right"/>
      <protection locked="0"/>
    </xf>
    <xf numFmtId="10" fontId="58" fillId="17" borderId="27" xfId="12" applyNumberFormat="1" applyFont="1" applyFill="1" applyBorder="1" applyAlignment="1" applyProtection="1">
      <alignment horizontal="right"/>
      <protection locked="0"/>
    </xf>
    <xf numFmtId="10" fontId="58" fillId="32" borderId="1" xfId="15" applyNumberFormat="1" applyFont="1" applyFill="1" applyBorder="1" applyAlignment="1" applyProtection="1">
      <alignment horizontal="right"/>
      <protection locked="0"/>
    </xf>
    <xf numFmtId="10" fontId="58" fillId="17" borderId="1" xfId="12" applyNumberFormat="1" applyFont="1" applyFill="1" applyBorder="1" applyAlignment="1" applyProtection="1">
      <alignment horizontal="right"/>
    </xf>
    <xf numFmtId="10" fontId="58" fillId="17" borderId="100" xfId="12" applyNumberFormat="1" applyFont="1" applyFill="1" applyBorder="1" applyAlignment="1" applyProtection="1">
      <alignment horizontal="right"/>
      <protection locked="0"/>
    </xf>
    <xf numFmtId="10" fontId="58" fillId="32" borderId="100" xfId="12" applyNumberFormat="1" applyFont="1" applyFill="1" applyBorder="1" applyAlignment="1" applyProtection="1">
      <alignment horizontal="right"/>
      <protection locked="0"/>
    </xf>
    <xf numFmtId="4" fontId="0" fillId="32" borderId="1" xfId="0" applyNumberFormat="1" applyFill="1" applyBorder="1" applyProtection="1">
      <protection locked="0"/>
    </xf>
    <xf numFmtId="4" fontId="0" fillId="32" borderId="19" xfId="0" applyNumberFormat="1" applyFill="1" applyBorder="1" applyProtection="1">
      <protection locked="0"/>
    </xf>
    <xf numFmtId="0" fontId="2" fillId="0" borderId="0" xfId="16" applyFont="1" applyBorder="1"/>
    <xf numFmtId="197" fontId="58" fillId="32" borderId="100" xfId="12" applyNumberFormat="1" applyFont="1" applyFill="1" applyBorder="1" applyAlignment="1" applyProtection="1">
      <alignment horizontal="right"/>
      <protection locked="0"/>
    </xf>
    <xf numFmtId="0" fontId="37" fillId="0" borderId="0" xfId="16" applyBorder="1" applyAlignment="1">
      <alignment vertical="center"/>
    </xf>
    <xf numFmtId="0" fontId="15" fillId="23" borderId="80" xfId="16" applyFont="1" applyFill="1" applyBorder="1" applyAlignment="1">
      <alignment horizontal="left" vertical="center" wrapText="1"/>
    </xf>
    <xf numFmtId="0" fontId="15" fillId="23" borderId="81" xfId="16" applyFont="1" applyFill="1" applyBorder="1" applyAlignment="1">
      <alignment horizontal="left" vertical="center" wrapText="1"/>
    </xf>
    <xf numFmtId="0" fontId="2" fillId="0" borderId="0" xfId="16" applyFont="1" applyAlignment="1">
      <alignment horizontal="left" vertical="center" wrapText="1"/>
    </xf>
    <xf numFmtId="0" fontId="37" fillId="0" borderId="0" xfId="16" applyAlignment="1">
      <alignment horizontal="left" vertical="center" wrapText="1"/>
    </xf>
    <xf numFmtId="0" fontId="37" fillId="0" borderId="0" xfId="16" applyBorder="1" applyAlignment="1">
      <alignment horizontal="left" vertical="center" wrapText="1"/>
    </xf>
    <xf numFmtId="0" fontId="15" fillId="19" borderId="26" xfId="16" applyFont="1" applyFill="1" applyBorder="1" applyAlignment="1">
      <alignment horizontal="left" vertical="center" wrapText="1"/>
    </xf>
    <xf numFmtId="3" fontId="15" fillId="19" borderId="1" xfId="16" applyNumberFormat="1" applyFont="1" applyFill="1" applyBorder="1" applyAlignment="1">
      <alignment horizontal="left" vertical="center" wrapText="1"/>
    </xf>
    <xf numFmtId="3" fontId="15" fillId="19" borderId="17" xfId="16" applyNumberFormat="1" applyFont="1" applyFill="1" applyBorder="1" applyAlignment="1">
      <alignment vertical="center" wrapText="1"/>
    </xf>
    <xf numFmtId="3" fontId="37" fillId="32" borderId="17" xfId="16" applyNumberFormat="1" applyFill="1" applyBorder="1" applyProtection="1">
      <protection locked="0"/>
    </xf>
    <xf numFmtId="3" fontId="15" fillId="0" borderId="17" xfId="16" applyNumberFormat="1" applyFont="1" applyBorder="1"/>
    <xf numFmtId="3" fontId="37" fillId="32" borderId="14" xfId="16" applyNumberFormat="1" applyFill="1" applyBorder="1" applyProtection="1">
      <protection locked="0"/>
    </xf>
    <xf numFmtId="3" fontId="15" fillId="0" borderId="14" xfId="16" applyNumberFormat="1" applyFont="1" applyBorder="1"/>
    <xf numFmtId="0" fontId="15" fillId="0" borderId="1" xfId="16" applyFont="1" applyBorder="1" applyAlignment="1">
      <alignment vertical="center"/>
    </xf>
    <xf numFmtId="0" fontId="15" fillId="0" borderId="27" xfId="16" applyFont="1" applyBorder="1" applyAlignment="1">
      <alignment vertical="center"/>
    </xf>
    <xf numFmtId="0" fontId="15" fillId="42" borderId="26" xfId="16" applyFont="1" applyFill="1" applyBorder="1" applyAlignment="1">
      <alignment horizontal="left" vertical="center"/>
    </xf>
    <xf numFmtId="3" fontId="15" fillId="42" borderId="1" xfId="16" applyNumberFormat="1" applyFont="1" applyFill="1" applyBorder="1" applyAlignment="1">
      <alignment horizontal="left" vertical="center"/>
    </xf>
    <xf numFmtId="3" fontId="15" fillId="42" borderId="17" xfId="16" applyNumberFormat="1" applyFont="1" applyFill="1" applyBorder="1" applyAlignment="1">
      <alignment horizontal="left" vertical="center"/>
    </xf>
    <xf numFmtId="3" fontId="2" fillId="32" borderId="17" xfId="16" applyNumberFormat="1" applyFont="1" applyFill="1" applyBorder="1" applyProtection="1">
      <protection locked="0"/>
    </xf>
    <xf numFmtId="3" fontId="15" fillId="42" borderId="14" xfId="16" applyNumberFormat="1" applyFont="1" applyFill="1" applyBorder="1" applyAlignment="1">
      <alignment horizontal="left" vertical="center"/>
    </xf>
    <xf numFmtId="3" fontId="15" fillId="42" borderId="18" xfId="16" applyNumberFormat="1" applyFont="1" applyFill="1" applyBorder="1" applyAlignment="1">
      <alignment horizontal="left" vertical="center"/>
    </xf>
    <xf numFmtId="3" fontId="15" fillId="32" borderId="18" xfId="16" applyNumberFormat="1" applyFont="1" applyFill="1" applyBorder="1" applyProtection="1">
      <protection locked="0"/>
    </xf>
    <xf numFmtId="3" fontId="37" fillId="32" borderId="18" xfId="16" applyNumberFormat="1" applyFill="1" applyBorder="1" applyProtection="1">
      <protection locked="0"/>
    </xf>
    <xf numFmtId="3" fontId="15" fillId="0" borderId="18" xfId="16" applyNumberFormat="1" applyFont="1" applyBorder="1"/>
    <xf numFmtId="3" fontId="37" fillId="0" borderId="14" xfId="16" applyNumberFormat="1" applyBorder="1"/>
    <xf numFmtId="3" fontId="15" fillId="0" borderId="20" xfId="16" applyNumberFormat="1" applyFont="1" applyFill="1" applyBorder="1"/>
    <xf numFmtId="3" fontId="37" fillId="0" borderId="20" xfId="16" applyNumberFormat="1" applyFill="1" applyBorder="1"/>
    <xf numFmtId="3" fontId="15" fillId="0" borderId="16" xfId="16" applyNumberFormat="1" applyFont="1" applyFill="1" applyBorder="1"/>
    <xf numFmtId="0" fontId="15" fillId="0" borderId="14" xfId="16" applyFont="1" applyBorder="1" applyAlignment="1">
      <alignment horizontal="center" vertical="center"/>
    </xf>
    <xf numFmtId="0" fontId="37" fillId="0" borderId="0" xfId="16" applyBorder="1" applyAlignment="1">
      <alignment horizontal="center" vertical="center"/>
    </xf>
    <xf numFmtId="0" fontId="15" fillId="0" borderId="27" xfId="16" applyFont="1" applyBorder="1" applyAlignment="1">
      <alignment horizontal="center" vertical="center"/>
    </xf>
    <xf numFmtId="0" fontId="15" fillId="0" borderId="1" xfId="16" applyFont="1" applyBorder="1" applyAlignment="1">
      <alignment horizontal="center" vertical="center"/>
    </xf>
    <xf numFmtId="0" fontId="15" fillId="19" borderId="1" xfId="16" applyFont="1" applyFill="1" applyBorder="1" applyAlignment="1">
      <alignment horizontal="left" vertical="center" wrapText="1"/>
    </xf>
    <xf numFmtId="0" fontId="15" fillId="43" borderId="80" xfId="16" applyFont="1" applyFill="1" applyBorder="1"/>
    <xf numFmtId="0" fontId="15" fillId="43" borderId="81" xfId="16" applyFont="1" applyFill="1" applyBorder="1"/>
    <xf numFmtId="0" fontId="15" fillId="43" borderId="81" xfId="16" applyFont="1" applyFill="1" applyBorder="1" applyAlignment="1">
      <alignment wrapText="1"/>
    </xf>
    <xf numFmtId="0" fontId="15" fillId="0" borderId="26" xfId="16" applyFont="1" applyBorder="1" applyAlignment="1">
      <alignment vertical="center" wrapText="1"/>
    </xf>
    <xf numFmtId="0" fontId="42" fillId="4" borderId="42" xfId="0" applyFont="1" applyFill="1" applyBorder="1" applyAlignment="1" applyProtection="1">
      <alignment vertical="center"/>
    </xf>
    <xf numFmtId="176" fontId="2" fillId="24" borderId="1" xfId="0" applyNumberFormat="1" applyFont="1" applyFill="1" applyBorder="1" applyAlignment="1" applyProtection="1">
      <alignment horizontal="center"/>
    </xf>
    <xf numFmtId="0" fontId="2" fillId="24" borderId="1" xfId="0" applyFont="1" applyFill="1" applyBorder="1" applyAlignment="1" applyProtection="1">
      <alignment horizontal="center"/>
    </xf>
    <xf numFmtId="178" fontId="2" fillId="24" borderId="1" xfId="0" applyNumberFormat="1" applyFont="1" applyFill="1" applyBorder="1" applyAlignment="1" applyProtection="1">
      <alignment horizontal="center"/>
    </xf>
    <xf numFmtId="178" fontId="2" fillId="44" borderId="1" xfId="0" applyNumberFormat="1" applyFont="1" applyFill="1" applyBorder="1" applyProtection="1"/>
    <xf numFmtId="178" fontId="2" fillId="45" borderId="1" xfId="0" applyNumberFormat="1" applyFont="1" applyFill="1" applyBorder="1" applyProtection="1"/>
    <xf numFmtId="0" fontId="2" fillId="0" borderId="17" xfId="0" applyFont="1" applyFill="1" applyBorder="1" applyAlignment="1" applyProtection="1">
      <alignment wrapText="1"/>
    </xf>
    <xf numFmtId="0" fontId="2" fillId="0" borderId="17" xfId="0" applyFont="1" applyFill="1" applyBorder="1" applyProtection="1"/>
    <xf numFmtId="0" fontId="2" fillId="0" borderId="1" xfId="10" applyNumberFormat="1" applyFont="1" applyFill="1" applyBorder="1" applyAlignment="1" applyProtection="1">
      <alignment horizontal="center" vertical="center"/>
    </xf>
    <xf numFmtId="176" fontId="2" fillId="0" borderId="1" xfId="12" applyNumberFormat="1" applyFont="1" applyFill="1" applyBorder="1" applyAlignment="1" applyProtection="1">
      <alignment horizontal="center" vertical="center"/>
    </xf>
    <xf numFmtId="194" fontId="49" fillId="24" borderId="1" xfId="0" applyNumberFormat="1" applyFont="1" applyFill="1" applyBorder="1" applyProtection="1"/>
    <xf numFmtId="178" fontId="2" fillId="46" borderId="1" xfId="0" applyNumberFormat="1" applyFont="1" applyFill="1" applyBorder="1" applyProtection="1"/>
    <xf numFmtId="196" fontId="2" fillId="46" borderId="1" xfId="0" applyNumberFormat="1" applyFont="1" applyFill="1" applyBorder="1" applyProtection="1"/>
    <xf numFmtId="176" fontId="2" fillId="0" borderId="1" xfId="12" applyNumberFormat="1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wrapText="1"/>
    </xf>
    <xf numFmtId="0" fontId="2" fillId="45" borderId="1" xfId="0" applyFont="1" applyFill="1" applyBorder="1" applyProtection="1"/>
    <xf numFmtId="2" fontId="2" fillId="46" borderId="1" xfId="12" applyNumberFormat="1" applyFont="1" applyFill="1" applyBorder="1" applyAlignment="1" applyProtection="1">
      <alignment horizontal="center"/>
    </xf>
    <xf numFmtId="0" fontId="2" fillId="46" borderId="17" xfId="0" applyFont="1" applyFill="1" applyBorder="1" applyAlignment="1" applyProtection="1">
      <alignment wrapText="1"/>
    </xf>
    <xf numFmtId="9" fontId="2" fillId="46" borderId="1" xfId="12" applyFont="1" applyFill="1" applyBorder="1" applyAlignment="1" applyProtection="1">
      <alignment horizontal="center"/>
    </xf>
    <xf numFmtId="0" fontId="2" fillId="46" borderId="17" xfId="0" applyFont="1" applyFill="1" applyBorder="1" applyProtection="1"/>
    <xf numFmtId="178" fontId="2" fillId="46" borderId="1" xfId="0" applyNumberFormat="1" applyFont="1" applyFill="1" applyBorder="1" applyAlignment="1" applyProtection="1">
      <alignment horizontal="center"/>
    </xf>
    <xf numFmtId="0" fontId="2" fillId="46" borderId="1" xfId="10" applyNumberFormat="1" applyFont="1" applyFill="1" applyBorder="1" applyAlignment="1" applyProtection="1">
      <alignment horizontal="center" vertical="center"/>
    </xf>
    <xf numFmtId="0" fontId="2" fillId="46" borderId="1" xfId="10" applyNumberFormat="1" applyFont="1" applyFill="1" applyBorder="1" applyAlignment="1" applyProtection="1">
      <alignment horizontal="center" vertical="center" wrapText="1"/>
    </xf>
    <xf numFmtId="176" fontId="2" fillId="46" borderId="1" xfId="12" applyNumberFormat="1" applyFont="1" applyFill="1" applyBorder="1" applyAlignment="1" applyProtection="1">
      <alignment horizontal="center" vertical="center"/>
    </xf>
    <xf numFmtId="178" fontId="2" fillId="45" borderId="1" xfId="0" applyNumberFormat="1" applyFont="1" applyFill="1" applyBorder="1" applyAlignment="1" applyProtection="1">
      <alignment wrapText="1"/>
    </xf>
    <xf numFmtId="178" fontId="2" fillId="24" borderId="19" xfId="0" applyNumberFormat="1" applyFont="1" applyFill="1" applyBorder="1" applyAlignment="1" applyProtection="1">
      <alignment wrapText="1"/>
    </xf>
    <xf numFmtId="9" fontId="2" fillId="24" borderId="1" xfId="12" applyFont="1" applyFill="1" applyBorder="1" applyProtection="1"/>
    <xf numFmtId="178" fontId="2" fillId="45" borderId="19" xfId="0" applyNumberFormat="1" applyFont="1" applyFill="1" applyBorder="1" applyAlignment="1" applyProtection="1">
      <alignment wrapText="1"/>
    </xf>
    <xf numFmtId="178" fontId="2" fillId="45" borderId="19" xfId="0" applyNumberFormat="1" applyFont="1" applyFill="1" applyBorder="1" applyProtection="1"/>
    <xf numFmtId="183" fontId="2" fillId="45" borderId="19" xfId="0" applyNumberFormat="1" applyFont="1" applyFill="1" applyBorder="1" applyProtection="1"/>
    <xf numFmtId="196" fontId="2" fillId="45" borderId="19" xfId="0" applyNumberFormat="1" applyFont="1" applyFill="1" applyBorder="1" applyProtection="1"/>
    <xf numFmtId="178" fontId="2" fillId="45" borderId="1" xfId="0" applyNumberFormat="1" applyFont="1" applyFill="1" applyBorder="1" applyAlignment="1" applyProtection="1">
      <alignment horizontal="center"/>
    </xf>
    <xf numFmtId="178" fontId="2" fillId="46" borderId="16" xfId="0" applyNumberFormat="1" applyFont="1" applyFill="1" applyBorder="1" applyProtection="1"/>
    <xf numFmtId="178" fontId="15" fillId="44" borderId="17" xfId="0" applyNumberFormat="1" applyFont="1" applyFill="1" applyBorder="1" applyAlignment="1" applyProtection="1">
      <alignment wrapText="1"/>
    </xf>
    <xf numFmtId="9" fontId="24" fillId="44" borderId="18" xfId="12" applyFont="1" applyFill="1" applyBorder="1" applyProtection="1"/>
    <xf numFmtId="9" fontId="24" fillId="44" borderId="14" xfId="12" applyFont="1" applyFill="1" applyBorder="1" applyProtection="1"/>
    <xf numFmtId="0" fontId="25" fillId="2" borderId="17" xfId="0" applyFont="1" applyFill="1" applyBorder="1" applyProtection="1"/>
    <xf numFmtId="178" fontId="2" fillId="0" borderId="17" xfId="0" applyNumberFormat="1" applyFont="1" applyFill="1" applyBorder="1" applyAlignment="1" applyProtection="1">
      <alignment wrapText="1"/>
    </xf>
    <xf numFmtId="0" fontId="2" fillId="2" borderId="1" xfId="0" applyFont="1" applyFill="1" applyBorder="1" applyProtection="1"/>
    <xf numFmtId="0" fontId="2" fillId="0" borderId="0" xfId="19" applyAlignment="1">
      <alignment horizontal="left" vertical="center"/>
    </xf>
    <xf numFmtId="0" fontId="2" fillId="0" borderId="0" xfId="19" applyAlignment="1">
      <alignment wrapText="1"/>
    </xf>
    <xf numFmtId="0" fontId="2" fillId="0" borderId="0" xfId="19" applyAlignment="1"/>
    <xf numFmtId="0" fontId="2" fillId="0" borderId="0" xfId="19" applyAlignment="1">
      <alignment horizontal="center" wrapText="1"/>
    </xf>
    <xf numFmtId="184" fontId="23" fillId="15" borderId="18" xfId="19" applyNumberFormat="1" applyFont="1" applyFill="1" applyBorder="1" applyAlignment="1">
      <alignment horizontal="left" vertical="center" wrapText="1"/>
    </xf>
    <xf numFmtId="0" fontId="2" fillId="0" borderId="0" xfId="19" applyFill="1" applyAlignment="1">
      <alignment horizontal="left" vertical="center" wrapText="1"/>
    </xf>
    <xf numFmtId="0" fontId="2" fillId="24" borderId="0" xfId="19" applyFill="1" applyAlignment="1">
      <alignment horizontal="left" vertical="center" wrapText="1"/>
    </xf>
    <xf numFmtId="0" fontId="2" fillId="0" borderId="0" xfId="19" applyFill="1" applyBorder="1" applyAlignment="1">
      <alignment horizontal="left" vertical="center" wrapText="1"/>
    </xf>
    <xf numFmtId="0" fontId="30" fillId="24" borderId="0" xfId="20" applyFont="1" applyFill="1" applyAlignment="1">
      <alignment horizontal="left" vertical="center" wrapText="1"/>
    </xf>
    <xf numFmtId="0" fontId="19" fillId="24" borderId="11" xfId="20" applyFont="1" applyFill="1" applyBorder="1" applyAlignment="1">
      <alignment horizontal="left" vertical="center" wrapText="1"/>
    </xf>
    <xf numFmtId="0" fontId="2" fillId="0" borderId="0" xfId="19" applyAlignment="1">
      <alignment horizontal="left" vertical="center" wrapText="1"/>
    </xf>
    <xf numFmtId="193" fontId="19" fillId="24" borderId="11" xfId="2" applyNumberFormat="1" applyFont="1" applyFill="1" applyBorder="1" applyAlignment="1">
      <alignment horizontal="left" vertical="center" wrapText="1"/>
    </xf>
    <xf numFmtId="1" fontId="19" fillId="24" borderId="11" xfId="20" applyNumberFormat="1" applyFont="1" applyFill="1" applyBorder="1" applyAlignment="1">
      <alignment horizontal="left" vertical="center" wrapText="1"/>
    </xf>
    <xf numFmtId="14" fontId="19" fillId="24" borderId="11" xfId="12" applyNumberFormat="1" applyFont="1" applyFill="1" applyBorder="1" applyAlignment="1">
      <alignment horizontal="left" vertical="center" wrapText="1"/>
    </xf>
    <xf numFmtId="9" fontId="19" fillId="24" borderId="11" xfId="13" applyNumberFormat="1" applyFont="1" applyFill="1" applyBorder="1" applyAlignment="1">
      <alignment horizontal="left" vertical="center" wrapText="1"/>
    </xf>
    <xf numFmtId="10" fontId="19" fillId="24" borderId="11" xfId="12" applyNumberFormat="1" applyFont="1" applyFill="1" applyBorder="1" applyAlignment="1">
      <alignment horizontal="left" vertical="center" wrapText="1"/>
    </xf>
    <xf numFmtId="10" fontId="19" fillId="24" borderId="11" xfId="13" applyNumberFormat="1" applyFont="1" applyFill="1" applyBorder="1" applyAlignment="1">
      <alignment horizontal="left" vertical="center" wrapText="1"/>
    </xf>
    <xf numFmtId="1" fontId="19" fillId="24" borderId="11" xfId="13" applyNumberFormat="1" applyFont="1" applyFill="1" applyBorder="1" applyAlignment="1">
      <alignment horizontal="left" vertical="center" wrapText="1"/>
    </xf>
    <xf numFmtId="186" fontId="32" fillId="24" borderId="11" xfId="20" applyNumberFormat="1" applyFont="1" applyFill="1" applyBorder="1" applyAlignment="1">
      <alignment horizontal="left" vertical="center" wrapText="1"/>
    </xf>
    <xf numFmtId="187" fontId="32" fillId="24" borderId="11" xfId="20" applyNumberFormat="1" applyFont="1" applyFill="1" applyBorder="1" applyAlignment="1">
      <alignment horizontal="left" vertical="center" wrapText="1"/>
    </xf>
    <xf numFmtId="188" fontId="19" fillId="24" borderId="11" xfId="20" applyNumberFormat="1" applyFill="1" applyBorder="1" applyAlignment="1">
      <alignment horizontal="left" vertical="center" wrapText="1"/>
    </xf>
    <xf numFmtId="189" fontId="19" fillId="24" borderId="11" xfId="13" applyNumberFormat="1" applyFont="1" applyFill="1" applyBorder="1" applyAlignment="1">
      <alignment horizontal="left" vertical="center" wrapText="1"/>
    </xf>
    <xf numFmtId="0" fontId="2" fillId="46" borderId="17" xfId="0" applyFont="1" applyFill="1" applyBorder="1" applyAlignment="1" applyProtection="1">
      <alignment vertical="center"/>
    </xf>
    <xf numFmtId="0" fontId="2" fillId="20" borderId="17" xfId="0" applyFont="1" applyFill="1" applyBorder="1" applyAlignment="1" applyProtection="1">
      <alignment vertical="center"/>
    </xf>
    <xf numFmtId="0" fontId="2" fillId="20" borderId="82" xfId="20" applyFont="1" applyFill="1" applyBorder="1" applyAlignment="1">
      <alignment horizontal="left" vertical="center" wrapText="1"/>
    </xf>
    <xf numFmtId="0" fontId="2" fillId="20" borderId="83" xfId="20" applyFont="1" applyFill="1" applyBorder="1" applyAlignment="1">
      <alignment horizontal="left" vertical="center" wrapText="1"/>
    </xf>
    <xf numFmtId="0" fontId="2" fillId="20" borderId="84" xfId="20" applyFont="1" applyFill="1" applyBorder="1" applyAlignment="1">
      <alignment horizontal="left" vertical="center" wrapText="1"/>
    </xf>
    <xf numFmtId="0" fontId="2" fillId="20" borderId="82" xfId="19" applyFont="1" applyFill="1" applyBorder="1" applyAlignment="1">
      <alignment horizontal="left" vertical="center" wrapText="1"/>
    </xf>
    <xf numFmtId="0" fontId="2" fillId="20" borderId="83" xfId="19" applyFont="1" applyFill="1" applyBorder="1" applyAlignment="1">
      <alignment horizontal="left" vertical="center" wrapText="1"/>
    </xf>
    <xf numFmtId="193" fontId="2" fillId="20" borderId="83" xfId="2" applyNumberFormat="1" applyFont="1" applyFill="1" applyBorder="1" applyAlignment="1">
      <alignment horizontal="left" vertical="center" wrapText="1"/>
    </xf>
    <xf numFmtId="1" fontId="2" fillId="20" borderId="83" xfId="20" applyNumberFormat="1" applyFont="1" applyFill="1" applyBorder="1" applyAlignment="1">
      <alignment horizontal="left" vertical="center" wrapText="1"/>
    </xf>
    <xf numFmtId="14" fontId="2" fillId="20" borderId="83" xfId="12" applyNumberFormat="1" applyFont="1" applyFill="1" applyBorder="1" applyAlignment="1">
      <alignment horizontal="left" vertical="center" wrapText="1"/>
    </xf>
    <xf numFmtId="9" fontId="2" fillId="20" borderId="83" xfId="13" applyNumberFormat="1" applyFont="1" applyFill="1" applyBorder="1" applyAlignment="1">
      <alignment horizontal="left" vertical="center" wrapText="1"/>
    </xf>
    <xf numFmtId="10" fontId="2" fillId="20" borderId="83" xfId="12" applyNumberFormat="1" applyFont="1" applyFill="1" applyBorder="1" applyAlignment="1">
      <alignment horizontal="left" vertical="center" wrapText="1"/>
    </xf>
    <xf numFmtId="10" fontId="2" fillId="20" borderId="83" xfId="13" applyNumberFormat="1" applyFont="1" applyFill="1" applyBorder="1" applyAlignment="1">
      <alignment horizontal="left" vertical="center" wrapText="1"/>
    </xf>
    <xf numFmtId="10" fontId="2" fillId="20" borderId="84" xfId="13" applyNumberFormat="1" applyFont="1" applyFill="1" applyBorder="1" applyAlignment="1">
      <alignment horizontal="left" vertical="center" wrapText="1"/>
    </xf>
    <xf numFmtId="1" fontId="2" fillId="20" borderId="83" xfId="13" applyNumberFormat="1" applyFont="1" applyFill="1" applyBorder="1" applyAlignment="1">
      <alignment horizontal="left" vertical="center" wrapText="1"/>
    </xf>
    <xf numFmtId="14" fontId="2" fillId="20" borderId="84" xfId="12" applyNumberFormat="1" applyFont="1" applyFill="1" applyBorder="1" applyAlignment="1">
      <alignment horizontal="left" vertical="center" wrapText="1"/>
    </xf>
    <xf numFmtId="188" fontId="2" fillId="20" borderId="83" xfId="20" applyNumberFormat="1" applyFont="1" applyFill="1" applyBorder="1" applyAlignment="1">
      <alignment horizontal="left" vertical="center" wrapText="1"/>
    </xf>
    <xf numFmtId="189" fontId="2" fillId="20" borderId="84" xfId="13" applyNumberFormat="1" applyFont="1" applyFill="1" applyBorder="1" applyAlignment="1">
      <alignment horizontal="left" vertical="center" wrapText="1"/>
    </xf>
    <xf numFmtId="0" fontId="30" fillId="20" borderId="82" xfId="20" applyFont="1" applyFill="1" applyBorder="1" applyAlignment="1">
      <alignment horizontal="left" vertical="center" wrapText="1"/>
    </xf>
    <xf numFmtId="0" fontId="30" fillId="20" borderId="83" xfId="20" applyFont="1" applyFill="1" applyBorder="1" applyAlignment="1">
      <alignment horizontal="left" vertical="center" wrapText="1"/>
    </xf>
    <xf numFmtId="41" fontId="2" fillId="0" borderId="85" xfId="1" applyNumberFormat="1" applyFont="1" applyBorder="1" applyAlignment="1">
      <alignment horizontal="left" vertical="center"/>
    </xf>
    <xf numFmtId="41" fontId="2" fillId="0" borderId="86" xfId="1" applyNumberFormat="1" applyFont="1" applyBorder="1" applyAlignment="1">
      <alignment horizontal="left" vertical="center"/>
    </xf>
    <xf numFmtId="37" fontId="2" fillId="20" borderId="83" xfId="2" applyNumberFormat="1" applyFont="1" applyFill="1" applyBorder="1" applyAlignment="1">
      <alignment horizontal="left" vertical="center" wrapText="1"/>
    </xf>
    <xf numFmtId="37" fontId="2" fillId="20" borderId="83" xfId="2" applyNumberFormat="1" applyFont="1" applyFill="1" applyBorder="1" applyAlignment="1">
      <alignment horizontal="left" vertical="center"/>
    </xf>
    <xf numFmtId="37" fontId="2" fillId="20" borderId="84" xfId="2" applyNumberFormat="1" applyFont="1" applyFill="1" applyBorder="1" applyAlignment="1">
      <alignment horizontal="left" vertical="center"/>
    </xf>
    <xf numFmtId="202" fontId="21" fillId="2" borderId="11" xfId="1" applyNumberFormat="1" applyFont="1" applyFill="1" applyBorder="1" applyAlignment="1">
      <alignment horizontal="center"/>
    </xf>
    <xf numFmtId="37" fontId="21" fillId="2" borderId="11" xfId="1" applyNumberFormat="1" applyFont="1" applyFill="1" applyBorder="1" applyAlignment="1">
      <alignment horizontal="center"/>
    </xf>
    <xf numFmtId="37" fontId="21" fillId="2" borderId="76" xfId="1" applyNumberFormat="1" applyFont="1" applyFill="1" applyBorder="1" applyAlignment="1">
      <alignment horizontal="center"/>
    </xf>
    <xf numFmtId="37" fontId="2" fillId="2" borderId="0" xfId="19" applyNumberFormat="1" applyFill="1"/>
    <xf numFmtId="37" fontId="2" fillId="2" borderId="0" xfId="19" applyNumberFormat="1" applyFill="1" applyAlignment="1">
      <alignment horizontal="center"/>
    </xf>
    <xf numFmtId="37" fontId="2" fillId="0" borderId="0" xfId="19" applyNumberFormat="1"/>
    <xf numFmtId="37" fontId="2" fillId="0" borderId="0" xfId="19" applyNumberFormat="1" applyAlignment="1">
      <alignment horizontal="center"/>
    </xf>
    <xf numFmtId="41" fontId="23" fillId="15" borderId="18" xfId="19" applyNumberFormat="1" applyFont="1" applyFill="1" applyBorder="1" applyAlignment="1">
      <alignment horizontal="center" vertical="center"/>
    </xf>
    <xf numFmtId="0" fontId="2" fillId="0" borderId="0" xfId="19" applyAlignment="1">
      <alignment horizontal="right"/>
    </xf>
    <xf numFmtId="1" fontId="15" fillId="0" borderId="87" xfId="19" applyNumberFormat="1" applyFont="1" applyBorder="1" applyAlignment="1">
      <alignment horizontal="right"/>
    </xf>
    <xf numFmtId="1" fontId="15" fillId="0" borderId="88" xfId="19" applyNumberFormat="1" applyFont="1" applyBorder="1" applyAlignment="1">
      <alignment horizontal="right"/>
    </xf>
    <xf numFmtId="0" fontId="15" fillId="0" borderId="0" xfId="19" applyFont="1" applyAlignment="1">
      <alignment horizontal="right"/>
    </xf>
    <xf numFmtId="0" fontId="0" fillId="0" borderId="1" xfId="0" applyFont="1" applyBorder="1"/>
    <xf numFmtId="37" fontId="19" fillId="24" borderId="11" xfId="2" applyNumberFormat="1" applyFont="1" applyFill="1" applyBorder="1" applyAlignment="1">
      <alignment horizontal="left" vertical="center" wrapText="1"/>
    </xf>
    <xf numFmtId="37" fontId="2" fillId="24" borderId="11" xfId="2" applyNumberFormat="1" applyFont="1" applyFill="1" applyBorder="1" applyAlignment="1">
      <alignment horizontal="left" vertical="center" wrapText="1"/>
    </xf>
    <xf numFmtId="0" fontId="26" fillId="8" borderId="89" xfId="20" applyFont="1" applyFill="1" applyBorder="1" applyAlignment="1">
      <alignment vertical="center"/>
    </xf>
    <xf numFmtId="0" fontId="27" fillId="8" borderId="89" xfId="20" applyFont="1" applyFill="1" applyBorder="1" applyAlignment="1">
      <alignment vertical="center"/>
    </xf>
    <xf numFmtId="0" fontId="28" fillId="8" borderId="89" xfId="20" applyFont="1" applyFill="1" applyBorder="1" applyAlignment="1">
      <alignment vertical="center"/>
    </xf>
    <xf numFmtId="0" fontId="29" fillId="8" borderId="89" xfId="20" applyFont="1" applyFill="1" applyBorder="1" applyAlignment="1">
      <alignment vertical="center"/>
    </xf>
    <xf numFmtId="37" fontId="2" fillId="0" borderId="9" xfId="1" applyNumberFormat="1" applyFont="1" applyBorder="1" applyAlignment="1">
      <alignment wrapText="1"/>
    </xf>
    <xf numFmtId="37" fontId="2" fillId="0" borderId="90" xfId="1" applyNumberFormat="1" applyFont="1" applyBorder="1" applyAlignment="1">
      <alignment wrapText="1"/>
    </xf>
    <xf numFmtId="37" fontId="2" fillId="0" borderId="91" xfId="1" applyNumberFormat="1" applyFont="1" applyBorder="1" applyAlignment="1">
      <alignment wrapText="1"/>
    </xf>
    <xf numFmtId="184" fontId="23" fillId="47" borderId="90" xfId="19" applyNumberFormat="1" applyFont="1" applyFill="1" applyBorder="1" applyAlignment="1">
      <alignment horizontal="left" vertical="center" wrapText="1"/>
    </xf>
    <xf numFmtId="37" fontId="23" fillId="47" borderId="90" xfId="19" applyNumberFormat="1" applyFont="1" applyFill="1" applyBorder="1" applyAlignment="1">
      <alignment horizontal="left" vertical="center" wrapText="1"/>
    </xf>
    <xf numFmtId="0" fontId="2" fillId="0" borderId="0" xfId="19" applyAlignment="1">
      <alignment horizontal="left"/>
    </xf>
    <xf numFmtId="184" fontId="23" fillId="15" borderId="5" xfId="19" applyNumberFormat="1" applyFont="1" applyFill="1" applyBorder="1" applyAlignment="1">
      <alignment horizontal="left" vertical="center" wrapText="1"/>
    </xf>
    <xf numFmtId="41" fontId="23" fillId="15" borderId="5" xfId="19" applyNumberFormat="1" applyFont="1" applyFill="1" applyBorder="1" applyAlignment="1">
      <alignment horizontal="left" vertical="center"/>
    </xf>
    <xf numFmtId="0" fontId="2" fillId="0" borderId="0" xfId="19" applyBorder="1" applyAlignment="1">
      <alignment wrapText="1"/>
    </xf>
    <xf numFmtId="0" fontId="2" fillId="0" borderId="0" xfId="19" applyBorder="1" applyAlignment="1">
      <alignment horizontal="center"/>
    </xf>
    <xf numFmtId="0" fontId="2" fillId="0" borderId="0" xfId="19" applyBorder="1"/>
    <xf numFmtId="0" fontId="2" fillId="0" borderId="5" xfId="19" applyBorder="1" applyAlignment="1">
      <alignment horizontal="right" wrapText="1"/>
    </xf>
    <xf numFmtId="0" fontId="2" fillId="0" borderId="5" xfId="19" applyBorder="1" applyAlignment="1">
      <alignment horizontal="right"/>
    </xf>
    <xf numFmtId="0" fontId="2" fillId="0" borderId="92" xfId="19" applyBorder="1"/>
    <xf numFmtId="1" fontId="15" fillId="0" borderId="93" xfId="19" applyNumberFormat="1" applyFont="1" applyBorder="1" applyAlignment="1">
      <alignment horizontal="right"/>
    </xf>
    <xf numFmtId="203" fontId="32" fillId="20" borderId="83" xfId="20" applyNumberFormat="1" applyFont="1" applyFill="1" applyBorder="1" applyAlignment="1">
      <alignment horizontal="left" vertical="center" wrapText="1"/>
    </xf>
    <xf numFmtId="204" fontId="32" fillId="20" borderId="83" xfId="20" applyNumberFormat="1" applyFont="1" applyFill="1" applyBorder="1" applyAlignment="1">
      <alignment horizontal="left" vertical="center" wrapText="1"/>
    </xf>
    <xf numFmtId="0" fontId="47" fillId="0" borderId="17" xfId="0" applyFont="1" applyBorder="1" applyAlignment="1"/>
    <xf numFmtId="0" fontId="0" fillId="0" borderId="14" xfId="0" applyBorder="1" applyAlignment="1"/>
    <xf numFmtId="0" fontId="55" fillId="0" borderId="17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31" borderId="17" xfId="0" applyFont="1" applyFill="1" applyBorder="1" applyAlignment="1"/>
    <xf numFmtId="0" fontId="50" fillId="31" borderId="18" xfId="0" applyFont="1" applyFill="1" applyBorder="1" applyAlignment="1"/>
    <xf numFmtId="0" fontId="50" fillId="31" borderId="14" xfId="0" applyFont="1" applyFill="1" applyBorder="1" applyAlignment="1"/>
    <xf numFmtId="0" fontId="47" fillId="29" borderId="17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47" fillId="18" borderId="17" xfId="0" applyFont="1" applyFill="1" applyBorder="1" applyAlignment="1">
      <alignment horizontal="center"/>
    </xf>
    <xf numFmtId="0" fontId="0" fillId="20" borderId="19" xfId="0" applyFont="1" applyFill="1" applyBorder="1" applyAlignment="1"/>
    <xf numFmtId="0" fontId="0" fillId="0" borderId="20" xfId="0" applyBorder="1" applyAlignment="1"/>
    <xf numFmtId="0" fontId="0" fillId="0" borderId="16" xfId="0" applyBorder="1" applyAlignment="1"/>
    <xf numFmtId="178" fontId="56" fillId="35" borderId="19" xfId="0" applyNumberFormat="1" applyFont="1" applyFill="1" applyBorder="1" applyAlignment="1" applyProtection="1">
      <alignment horizontal="center"/>
    </xf>
    <xf numFmtId="178" fontId="56" fillId="35" borderId="20" xfId="0" applyNumberFormat="1" applyFont="1" applyFill="1" applyBorder="1" applyAlignment="1" applyProtection="1">
      <alignment horizontal="center"/>
    </xf>
    <xf numFmtId="178" fontId="56" fillId="35" borderId="16" xfId="0" applyNumberFormat="1" applyFont="1" applyFill="1" applyBorder="1" applyAlignment="1" applyProtection="1">
      <alignment horizontal="center"/>
    </xf>
    <xf numFmtId="0" fontId="47" fillId="28" borderId="19" xfId="0" applyFont="1" applyFill="1" applyBorder="1" applyAlignment="1"/>
    <xf numFmtId="0" fontId="0" fillId="28" borderId="20" xfId="0" applyFill="1" applyBorder="1" applyAlignment="1"/>
    <xf numFmtId="0" fontId="0" fillId="28" borderId="16" xfId="0" applyFill="1" applyBorder="1" applyAlignment="1"/>
    <xf numFmtId="176" fontId="0" fillId="29" borderId="19" xfId="0" applyNumberFormat="1" applyFont="1" applyFill="1" applyBorder="1" applyAlignment="1">
      <alignment horizontal="center"/>
    </xf>
    <xf numFmtId="176" fontId="0" fillId="29" borderId="20" xfId="0" applyNumberFormat="1" applyFont="1" applyFill="1" applyBorder="1" applyAlignment="1">
      <alignment horizontal="center"/>
    </xf>
    <xf numFmtId="176" fontId="0" fillId="29" borderId="16" xfId="0" applyNumberFormat="1" applyFont="1" applyFill="1" applyBorder="1" applyAlignment="1">
      <alignment horizontal="center"/>
    </xf>
    <xf numFmtId="0" fontId="6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178" fontId="59" fillId="35" borderId="17" xfId="0" applyNumberFormat="1" applyFont="1" applyFill="1" applyBorder="1" applyAlignment="1" applyProtection="1">
      <alignment horizontal="center"/>
    </xf>
    <xf numFmtId="0" fontId="0" fillId="35" borderId="14" xfId="0" applyFill="1" applyBorder="1" applyAlignment="1">
      <alignment horizontal="center"/>
    </xf>
    <xf numFmtId="0" fontId="47" fillId="28" borderId="17" xfId="0" applyFont="1" applyFill="1" applyBorder="1" applyAlignment="1">
      <alignment horizontal="center"/>
    </xf>
    <xf numFmtId="0" fontId="47" fillId="20" borderId="1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7" fillId="0" borderId="17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9" xfId="0" applyBorder="1" applyAlignment="1"/>
    <xf numFmtId="0" fontId="0" fillId="0" borderId="3" xfId="0" applyBorder="1" applyAlignment="1"/>
    <xf numFmtId="0" fontId="0" fillId="0" borderId="94" xfId="0" applyBorder="1" applyAlignment="1"/>
    <xf numFmtId="0" fontId="62" fillId="0" borderId="42" xfId="0" applyFont="1" applyBorder="1" applyAlignment="1">
      <alignment horizontal="center"/>
    </xf>
    <xf numFmtId="0" fontId="68" fillId="0" borderId="13" xfId="0" applyFont="1" applyBorder="1" applyAlignment="1">
      <alignment horizontal="center"/>
    </xf>
    <xf numFmtId="0" fontId="68" fillId="0" borderId="43" xfId="0" applyFont="1" applyBorder="1" applyAlignment="1">
      <alignment horizontal="center"/>
    </xf>
    <xf numFmtId="0" fontId="0" fillId="0" borderId="39" xfId="0" applyBorder="1" applyAlignment="1"/>
    <xf numFmtId="0" fontId="0" fillId="0" borderId="18" xfId="0" applyBorder="1" applyAlignment="1"/>
    <xf numFmtId="9" fontId="0" fillId="0" borderId="95" xfId="0" applyNumberFormat="1" applyBorder="1" applyAlignment="1"/>
    <xf numFmtId="0" fontId="0" fillId="0" borderId="5" xfId="0" applyBorder="1" applyAlignment="1"/>
    <xf numFmtId="0" fontId="0" fillId="0" borderId="49" xfId="0" applyBorder="1" applyAlignment="1"/>
    <xf numFmtId="0" fontId="0" fillId="0" borderId="2" xfId="0" applyBorder="1" applyAlignment="1"/>
    <xf numFmtId="0" fontId="0" fillId="0" borderId="7" xfId="0" applyBorder="1" applyAlignment="1"/>
    <xf numFmtId="0" fontId="0" fillId="0" borderId="44" xfId="0" applyBorder="1" applyAlignment="1"/>
    <xf numFmtId="0" fontId="0" fillId="0" borderId="95" xfId="0" applyBorder="1" applyAlignment="1"/>
    <xf numFmtId="9" fontId="0" fillId="0" borderId="2" xfId="0" applyNumberFormat="1" applyBorder="1" applyAlignment="1"/>
    <xf numFmtId="0" fontId="47" fillId="0" borderId="1" xfId="0" applyFont="1" applyBorder="1" applyAlignment="1">
      <alignment horizontal="center"/>
    </xf>
    <xf numFmtId="0" fontId="0" fillId="0" borderId="27" xfId="0" applyBorder="1" applyAlignment="1"/>
    <xf numFmtId="0" fontId="0" fillId="0" borderId="0" xfId="0" applyBorder="1" applyAlignment="1"/>
    <xf numFmtId="0" fontId="0" fillId="0" borderId="25" xfId="0" applyBorder="1" applyAlignment="1"/>
    <xf numFmtId="9" fontId="0" fillId="0" borderId="3" xfId="0" applyNumberFormat="1" applyBorder="1" applyAlignment="1"/>
    <xf numFmtId="0" fontId="55" fillId="0" borderId="42" xfId="0" applyFont="1" applyBorder="1" applyAlignment="1">
      <alignment horizontal="center"/>
    </xf>
    <xf numFmtId="0" fontId="50" fillId="0" borderId="13" xfId="0" applyFont="1" applyBorder="1" applyAlignment="1">
      <alignment horizontal="center"/>
    </xf>
    <xf numFmtId="0" fontId="50" fillId="0" borderId="43" xfId="0" applyFont="1" applyBorder="1" applyAlignment="1">
      <alignment horizontal="center"/>
    </xf>
    <xf numFmtId="0" fontId="0" fillId="0" borderId="38" xfId="0" applyBorder="1" applyAlignment="1"/>
    <xf numFmtId="0" fontId="0" fillId="0" borderId="96" xfId="0" applyBorder="1" applyAlignment="1"/>
    <xf numFmtId="0" fontId="0" fillId="0" borderId="57" xfId="0" applyBorder="1" applyAlignment="1"/>
    <xf numFmtId="0" fontId="0" fillId="0" borderId="29" xfId="0" applyBorder="1" applyAlignment="1"/>
    <xf numFmtId="0" fontId="47" fillId="0" borderId="2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4" xfId="0" applyBorder="1" applyAlignment="1">
      <alignment horizontal="center"/>
    </xf>
    <xf numFmtId="0" fontId="15" fillId="0" borderId="19" xfId="16" applyFont="1" applyBorder="1" applyAlignment="1">
      <alignment horizontal="center"/>
    </xf>
    <xf numFmtId="0" fontId="15" fillId="0" borderId="20" xfId="16" applyFont="1" applyBorder="1" applyAlignment="1">
      <alignment horizontal="center"/>
    </xf>
    <xf numFmtId="0" fontId="15" fillId="0" borderId="19" xfId="16" applyFont="1" applyBorder="1" applyAlignment="1">
      <alignment horizontal="center" vertical="center"/>
    </xf>
    <xf numFmtId="0" fontId="15" fillId="0" borderId="16" xfId="16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15" fillId="0" borderId="7" xfId="16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3" fontId="15" fillId="42" borderId="17" xfId="16" applyNumberFormat="1" applyFont="1" applyFill="1" applyBorder="1" applyAlignment="1">
      <alignment horizontal="center" vertical="center"/>
    </xf>
    <xf numFmtId="3" fontId="15" fillId="42" borderId="18" xfId="16" applyNumberFormat="1" applyFont="1" applyFill="1" applyBorder="1" applyAlignment="1">
      <alignment horizontal="center" vertical="center"/>
    </xf>
    <xf numFmtId="3" fontId="15" fillId="42" borderId="14" xfId="16" applyNumberFormat="1" applyFont="1" applyFill="1" applyBorder="1" applyAlignment="1">
      <alignment horizontal="center" vertical="center"/>
    </xf>
    <xf numFmtId="0" fontId="15" fillId="0" borderId="20" xfId="16" applyFont="1" applyFill="1" applyBorder="1" applyAlignment="1">
      <alignment horizontal="center"/>
    </xf>
    <xf numFmtId="0" fontId="15" fillId="0" borderId="3" xfId="16" applyFont="1" applyBorder="1" applyAlignment="1">
      <alignment horizontal="center"/>
    </xf>
    <xf numFmtId="0" fontId="0" fillId="0" borderId="4" xfId="0" applyBorder="1" applyAlignment="1"/>
    <xf numFmtId="0" fontId="0" fillId="0" borderId="6" xfId="0" applyBorder="1" applyAlignment="1"/>
    <xf numFmtId="0" fontId="37" fillId="0" borderId="45" xfId="16" applyBorder="1" applyAlignment="1"/>
    <xf numFmtId="0" fontId="0" fillId="0" borderId="46" xfId="0" applyBorder="1" applyAlignment="1"/>
    <xf numFmtId="0" fontId="15" fillId="23" borderId="97" xfId="16" applyFont="1" applyFill="1" applyBorder="1" applyAlignment="1">
      <alignment horizontal="center" vertical="center" wrapText="1"/>
    </xf>
    <xf numFmtId="0" fontId="15" fillId="23" borderId="98" xfId="16" applyFont="1" applyFill="1" applyBorder="1" applyAlignment="1">
      <alignment horizontal="center" vertical="center" wrapText="1"/>
    </xf>
    <xf numFmtId="0" fontId="15" fillId="23" borderId="99" xfId="16" applyFont="1" applyFill="1" applyBorder="1" applyAlignment="1">
      <alignment horizontal="center" vertical="center" wrapText="1"/>
    </xf>
    <xf numFmtId="3" fontId="15" fillId="19" borderId="17" xfId="16" applyNumberFormat="1" applyFont="1" applyFill="1" applyBorder="1" applyAlignment="1">
      <alignment horizontal="center" vertical="center" wrapText="1"/>
    </xf>
    <xf numFmtId="3" fontId="15" fillId="19" borderId="18" xfId="16" applyNumberFormat="1" applyFont="1" applyFill="1" applyBorder="1" applyAlignment="1">
      <alignment horizontal="center" vertical="center" wrapText="1"/>
    </xf>
    <xf numFmtId="3" fontId="15" fillId="19" borderId="29" xfId="16" applyNumberFormat="1" applyFont="1" applyFill="1" applyBorder="1" applyAlignment="1">
      <alignment horizontal="center" vertical="center" wrapText="1"/>
    </xf>
    <xf numFmtId="0" fontId="37" fillId="0" borderId="39" xfId="16" applyBorder="1" applyAlignment="1"/>
    <xf numFmtId="0" fontId="44" fillId="0" borderId="42" xfId="16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54" fillId="0" borderId="43" xfId="0" applyFont="1" applyBorder="1" applyAlignment="1">
      <alignment horizontal="center"/>
    </xf>
    <xf numFmtId="0" fontId="25" fillId="0" borderId="78" xfId="16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/>
    </xf>
    <xf numFmtId="0" fontId="50" fillId="0" borderId="37" xfId="0" applyFont="1" applyBorder="1" applyAlignment="1">
      <alignment horizontal="center" vertical="center"/>
    </xf>
    <xf numFmtId="0" fontId="50" fillId="0" borderId="48" xfId="0" applyFont="1" applyBorder="1" applyAlignment="1">
      <alignment horizontal="center" vertical="center"/>
    </xf>
    <xf numFmtId="0" fontId="15" fillId="43" borderId="97" xfId="16" applyFont="1" applyFill="1" applyBorder="1" applyAlignment="1">
      <alignment horizontal="center"/>
    </xf>
    <xf numFmtId="0" fontId="15" fillId="43" borderId="98" xfId="16" applyFont="1" applyFill="1" applyBorder="1" applyAlignment="1">
      <alignment horizontal="center"/>
    </xf>
    <xf numFmtId="0" fontId="15" fillId="43" borderId="99" xfId="16" applyFont="1" applyFill="1" applyBorder="1" applyAlignment="1">
      <alignment horizontal="center"/>
    </xf>
    <xf numFmtId="0" fontId="15" fillId="0" borderId="8" xfId="16" applyFont="1" applyBorder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15" fillId="0" borderId="6" xfId="16" applyFont="1" applyBorder="1" applyAlignment="1">
      <alignment horizontal="center" vertical="center"/>
    </xf>
    <xf numFmtId="0" fontId="17" fillId="2" borderId="17" xfId="10" applyNumberFormat="1" applyFont="1" applyFill="1" applyBorder="1" applyAlignment="1" applyProtection="1">
      <alignment horizontal="left" vertical="center"/>
    </xf>
    <xf numFmtId="0" fontId="17" fillId="2" borderId="18" xfId="10" applyNumberFormat="1" applyFont="1" applyFill="1" applyBorder="1" applyAlignment="1" applyProtection="1">
      <alignment horizontal="left" vertical="center"/>
    </xf>
    <xf numFmtId="0" fontId="17" fillId="2" borderId="14" xfId="10" applyNumberFormat="1" applyFont="1" applyFill="1" applyBorder="1" applyAlignment="1" applyProtection="1">
      <alignment horizontal="left" vertical="center"/>
    </xf>
    <xf numFmtId="0" fontId="13" fillId="16" borderId="39" xfId="0" applyFont="1" applyFill="1" applyBorder="1" applyAlignment="1" applyProtection="1">
      <alignment horizontal="center"/>
    </xf>
    <xf numFmtId="0" fontId="13" fillId="16" borderId="18" xfId="0" applyFont="1" applyFill="1" applyBorder="1" applyAlignment="1" applyProtection="1">
      <alignment horizontal="center"/>
    </xf>
    <xf numFmtId="0" fontId="13" fillId="16" borderId="29" xfId="0" applyFont="1" applyFill="1" applyBorder="1" applyAlignment="1" applyProtection="1">
      <alignment horizontal="center"/>
    </xf>
    <xf numFmtId="0" fontId="13" fillId="3" borderId="39" xfId="0" applyFont="1" applyFill="1" applyBorder="1" applyAlignment="1" applyProtection="1">
      <alignment horizontal="center"/>
    </xf>
    <xf numFmtId="0" fontId="13" fillId="3" borderId="18" xfId="0" applyFont="1" applyFill="1" applyBorder="1" applyAlignment="1" applyProtection="1">
      <alignment horizontal="center"/>
    </xf>
    <xf numFmtId="0" fontId="13" fillId="3" borderId="29" xfId="0" applyFont="1" applyFill="1" applyBorder="1" applyAlignment="1" applyProtection="1">
      <alignment horizontal="center"/>
    </xf>
    <xf numFmtId="0" fontId="22" fillId="27" borderId="0" xfId="19" applyFont="1" applyFill="1" applyAlignment="1">
      <alignment horizontal="center" vertical="center" wrapText="1"/>
    </xf>
    <xf numFmtId="0" fontId="22" fillId="27" borderId="0" xfId="19" applyFont="1" applyFill="1" applyAlignment="1">
      <alignment horizontal="center" vertical="center"/>
    </xf>
    <xf numFmtId="0" fontId="25" fillId="0" borderId="0" xfId="20" applyFont="1" applyAlignment="1">
      <alignment wrapText="1"/>
    </xf>
    <xf numFmtId="0" fontId="2" fillId="20" borderId="83" xfId="20" applyFont="1" applyFill="1" applyBorder="1" applyAlignment="1">
      <alignment horizontal="left" vertical="center" wrapText="1"/>
    </xf>
    <xf numFmtId="0" fontId="22" fillId="8" borderId="0" xfId="19" applyFont="1" applyFill="1" applyAlignment="1">
      <alignment horizontal="center" vertical="center" wrapText="1"/>
    </xf>
    <xf numFmtId="0" fontId="22" fillId="8" borderId="0" xfId="19" applyFont="1" applyFill="1" applyAlignment="1">
      <alignment horizontal="center" vertical="center"/>
    </xf>
    <xf numFmtId="0" fontId="19" fillId="24" borderId="11" xfId="20" applyFont="1" applyFill="1" applyBorder="1" applyAlignment="1">
      <alignment horizontal="left" vertical="center" wrapText="1"/>
    </xf>
  </cellXfs>
  <cellStyles count="21">
    <cellStyle name="Euro" xfId="1"/>
    <cellStyle name="Euro_PV_E3_Kalk_Version032009_Original" xfId="2"/>
    <cellStyle name="F2" xfId="3"/>
    <cellStyle name="F3" xfId="4"/>
    <cellStyle name="F4" xfId="5"/>
    <cellStyle name="F5" xfId="6"/>
    <cellStyle name="F6" xfId="7"/>
    <cellStyle name="F7" xfId="8"/>
    <cellStyle name="F8" xfId="9"/>
    <cellStyle name="Millares" xfId="10" builtinId="3"/>
    <cellStyle name="Normal" xfId="0" builtinId="0"/>
    <cellStyle name="Percent 2" xfId="11"/>
    <cellStyle name="Porcentaje" xfId="12" builtinId="5"/>
    <cellStyle name="Prozent 0,00%" xfId="13"/>
    <cellStyle name="Prozent 2" xfId="14"/>
    <cellStyle name="Salida" xfId="15" builtinId="21"/>
    <cellStyle name="Standard 2" xfId="16"/>
    <cellStyle name="Standard_KR-cashflow-GIZ-v5_ds" xfId="17"/>
    <cellStyle name="Standard_KR-cashflow-GIZ-v5_ds_1" xfId="18"/>
    <cellStyle name="Standard_PV_E3_Kalk_Version032009_Original" xfId="19"/>
    <cellStyle name="Standard_PV-Kalkulation_e3energie_pflichtenheft_version_080801" xfId="20"/>
  </cellStyles>
  <dxfs count="21">
    <dxf>
      <font>
        <condense val="0"/>
        <extend val="0"/>
        <color indexed="58"/>
      </font>
      <fill>
        <patternFill>
          <bgColor indexed="42"/>
        </patternFill>
      </fill>
    </dxf>
    <dxf>
      <font>
        <condense val="0"/>
        <extend val="0"/>
        <color indexed="22"/>
      </font>
      <fill>
        <patternFill patternType="none">
          <bgColor indexed="65"/>
        </patternFill>
      </fill>
    </dxf>
    <dxf>
      <font>
        <condense val="0"/>
        <extend val="0"/>
        <color indexed="22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8"/>
      </font>
      <fill>
        <patternFill>
          <bgColor indexed="42"/>
        </patternFill>
      </fill>
    </dxf>
    <dxf>
      <font>
        <condense val="0"/>
        <extend val="0"/>
        <color indexed="22"/>
      </font>
      <fill>
        <patternFill patternType="none">
          <bgColor indexed="65"/>
        </patternFill>
      </fill>
    </dxf>
    <dxf>
      <font>
        <condense val="0"/>
        <extend val="0"/>
        <color indexed="22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languages!$A$70</c:f>
          <c:strCache>
            <c:ptCount val="1"/>
            <c:pt idx="0">
              <c:v> Utilidad Acumulada Después de Impuestos (US$) </c:v>
            </c:pt>
          </c:strCache>
        </c:strRef>
      </c:tx>
      <c:overlay val="0"/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835512541934023"/>
          <c:y val="0.25957677165354331"/>
          <c:w val="0.56892894771132341"/>
          <c:h val="0.60822027528249112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Sensitivity'!$A$241</c:f>
              <c:strCache>
                <c:ptCount val="1"/>
                <c:pt idx="0">
                  <c:v>Utilidad Acumulada Valores de Salida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Sensitivity'!$B$240:$V$240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Sensitivity'!$B$241:$V$241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-62674.266666666663</c:v>
                </c:pt>
                <c:pt idx="2">
                  <c:v>-64256.20420266666</c:v>
                </c:pt>
                <c:pt idx="3">
                  <c:v>-65734.947749422499</c:v>
                </c:pt>
                <c:pt idx="4">
                  <c:v>-67068.382686318175</c:v>
                </c:pt>
                <c:pt idx="5">
                  <c:v>-68184.383340114742</c:v>
                </c:pt>
                <c:pt idx="6">
                  <c:v>-69073.328755114344</c:v>
                </c:pt>
                <c:pt idx="7">
                  <c:v>-69725.108996715862</c:v>
                </c:pt>
                <c:pt idx="8">
                  <c:v>-70129.097901449481</c:v>
                </c:pt>
                <c:pt idx="9">
                  <c:v>-70274.12422952021</c:v>
                </c:pt>
                <c:pt idx="10">
                  <c:v>-70174.834576039837</c:v>
                </c:pt>
                <c:pt idx="11">
                  <c:v>-69851.924169471138</c:v>
                </c:pt>
                <c:pt idx="12">
                  <c:v>-69295.125376676122</c:v>
                </c:pt>
                <c:pt idx="13">
                  <c:v>-68493.634588216955</c:v>
                </c:pt>
                <c:pt idx="14">
                  <c:v>-67436.081884478263</c:v>
                </c:pt>
                <c:pt idx="15">
                  <c:v>-66110.498909602829</c:v>
                </c:pt>
                <c:pt idx="16">
                  <c:v>-64504.284845133603</c:v>
                </c:pt>
                <c:pt idx="17">
                  <c:v>-62604.170368671352</c:v>
                </c:pt>
                <c:pt idx="18">
                  <c:v>-60396.179475870937</c:v>
                </c:pt>
                <c:pt idx="19">
                  <c:v>-57865.589036685669</c:v>
                </c:pt>
                <c:pt idx="20">
                  <c:v>-55007.265552166318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Sensitivity'!$A$242</c:f>
              <c:strCache>
                <c:ptCount val="1"/>
                <c:pt idx="0">
                  <c:v>Utilidad Acumulada Método Cálculo de Variantes</c:v>
                </c:pt>
              </c:strCache>
            </c:strRef>
          </c:tx>
          <c:marker>
            <c:symbol val="none"/>
          </c:marker>
          <c:cat>
            <c:numRef>
              <c:f>'Calc Sensitivity'!$B$240:$V$240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Sensitivity'!$B$242:$V$242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-62674.266666666663</c:v>
                </c:pt>
                <c:pt idx="2">
                  <c:v>-64256.20420266666</c:v>
                </c:pt>
                <c:pt idx="3">
                  <c:v>-65734.947749422499</c:v>
                </c:pt>
                <c:pt idx="4">
                  <c:v>-67068.382686318175</c:v>
                </c:pt>
                <c:pt idx="5">
                  <c:v>-68184.383340114742</c:v>
                </c:pt>
                <c:pt idx="6">
                  <c:v>-69073.328755114344</c:v>
                </c:pt>
                <c:pt idx="7">
                  <c:v>-69725.108996715862</c:v>
                </c:pt>
                <c:pt idx="8">
                  <c:v>-70129.097901449481</c:v>
                </c:pt>
                <c:pt idx="9">
                  <c:v>-70274.12422952021</c:v>
                </c:pt>
                <c:pt idx="10">
                  <c:v>-70174.834576039837</c:v>
                </c:pt>
                <c:pt idx="11">
                  <c:v>-69851.924169471138</c:v>
                </c:pt>
                <c:pt idx="12">
                  <c:v>-69295.125376676122</c:v>
                </c:pt>
                <c:pt idx="13">
                  <c:v>-68493.634588216955</c:v>
                </c:pt>
                <c:pt idx="14">
                  <c:v>-67436.081884478263</c:v>
                </c:pt>
                <c:pt idx="15">
                  <c:v>-66110.498909602829</c:v>
                </c:pt>
                <c:pt idx="16">
                  <c:v>-64504.284845133603</c:v>
                </c:pt>
                <c:pt idx="17">
                  <c:v>-62604.170368671352</c:v>
                </c:pt>
                <c:pt idx="18">
                  <c:v>-60396.179475870937</c:v>
                </c:pt>
                <c:pt idx="19">
                  <c:v>-57865.589036685669</c:v>
                </c:pt>
                <c:pt idx="20">
                  <c:v>-55007.265552166318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153200"/>
        <c:axId val="641148104"/>
      </c:lineChart>
      <c:catAx>
        <c:axId val="64115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48104"/>
        <c:crosses val="autoZero"/>
        <c:auto val="1"/>
        <c:lblAlgn val="ctr"/>
        <c:lblOffset val="100"/>
        <c:noMultiLvlLbl val="0"/>
      </c:catAx>
      <c:valAx>
        <c:axId val="64114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L"/>
                  <a:t>US$</a:t>
                </a:r>
              </a:p>
            </c:rich>
          </c:tx>
          <c:overlay val="0"/>
        </c:title>
        <c:numFmt formatCode="#,##0_ ;[Red]\-#,##0\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5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4503497635482785"/>
          <c:y val="0.5965142385370843"/>
          <c:w val="0.99484947641456711"/>
          <c:h val="0.95269108967012928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languages!$A$86</c:f>
          <c:strCache>
            <c:ptCount val="1"/>
            <c:pt idx="0">
              <c:v> Valor Presente Neto en Función de la Variación de los Subsidios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4743150596344415"/>
          <c:y val="0.24411572772970022"/>
          <c:w val="0.7317592473145017"/>
          <c:h val="0.51654006813261433"/>
        </c:manualLayout>
      </c:layout>
      <c:lineChart>
        <c:grouping val="standard"/>
        <c:varyColors val="0"/>
        <c:ser>
          <c:idx val="2"/>
          <c:order val="0"/>
          <c:tx>
            <c:v>NPV relativo a subsidios</c:v>
          </c:tx>
          <c:spPr>
            <a:ln w="38100">
              <a:solidFill>
                <a:srgbClr val="F79646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'Calc Sensitivity'!$C$130:$O$130</c:f>
              <c:numCache>
                <c:formatCode>0%</c:formatCode>
                <c:ptCount val="13"/>
                <c:pt idx="0">
                  <c:v>-0.6</c:v>
                </c:pt>
                <c:pt idx="1">
                  <c:v>-0.5</c:v>
                </c:pt>
                <c:pt idx="2">
                  <c:v>-0.4</c:v>
                </c:pt>
                <c:pt idx="3">
                  <c:v>-0.3</c:v>
                </c:pt>
                <c:pt idx="4">
                  <c:v>-0.2</c:v>
                </c:pt>
                <c:pt idx="5">
                  <c:v>-0.1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0.3</c:v>
                </c:pt>
                <c:pt idx="10">
                  <c:v>0.4</c:v>
                </c:pt>
                <c:pt idx="11">
                  <c:v>0.5</c:v>
                </c:pt>
                <c:pt idx="12">
                  <c:v>0.6</c:v>
                </c:pt>
              </c:numCache>
            </c:numRef>
          </c:cat>
          <c:val>
            <c:numRef>
              <c:f>'Calc Sensitivity'!$C$132:$O$132</c:f>
              <c:numCache>
                <c:formatCode>#,##0_ ;[Red]\-#,##0\ </c:formatCode>
                <c:ptCount val="13"/>
                <c:pt idx="0">
                  <c:v>-43739.165724781895</c:v>
                </c:pt>
                <c:pt idx="1">
                  <c:v>-43739.165724781895</c:v>
                </c:pt>
                <c:pt idx="2">
                  <c:v>-43739.165724781895</c:v>
                </c:pt>
                <c:pt idx="3">
                  <c:v>-43739.165724781895</c:v>
                </c:pt>
                <c:pt idx="4">
                  <c:v>-43739.165724781895</c:v>
                </c:pt>
                <c:pt idx="5">
                  <c:v>-43739.165724781895</c:v>
                </c:pt>
                <c:pt idx="6">
                  <c:v>-43739.165724781895</c:v>
                </c:pt>
                <c:pt idx="7">
                  <c:v>-43739.165724781895</c:v>
                </c:pt>
                <c:pt idx="8">
                  <c:v>-43739.165724781895</c:v>
                </c:pt>
                <c:pt idx="9">
                  <c:v>-43739.165724781895</c:v>
                </c:pt>
                <c:pt idx="10">
                  <c:v>-43739.165724781895</c:v>
                </c:pt>
                <c:pt idx="11">
                  <c:v>-43739.165724781895</c:v>
                </c:pt>
                <c:pt idx="12">
                  <c:v>-43739.165724781895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560608"/>
        <c:axId val="588561784"/>
      </c:lineChart>
      <c:catAx>
        <c:axId val="588560608"/>
        <c:scaling>
          <c:orientation val="minMax"/>
        </c:scaling>
        <c:delete val="0"/>
        <c:axPos val="b"/>
        <c:title>
          <c:tx>
            <c:strRef>
              <c:f>languages!$A$88</c:f>
              <c:strCache>
                <c:ptCount val="1"/>
                <c:pt idx="0">
                  <c:v> % Variación </c:v>
                </c:pt>
              </c:strCache>
            </c:strRef>
          </c:tx>
          <c:overlay val="0"/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%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588561784"/>
        <c:crosses val="autoZero"/>
        <c:auto val="1"/>
        <c:lblAlgn val="ctr"/>
        <c:lblOffset val="100"/>
        <c:noMultiLvlLbl val="0"/>
      </c:catAx>
      <c:valAx>
        <c:axId val="58856178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strRef>
              <c:f>languages!$A$87</c:f>
              <c:strCache>
                <c:ptCount val="1"/>
                <c:pt idx="0">
                  <c:v> Valor Presente Neto en US$ </c:v>
                </c:pt>
              </c:strCache>
            </c:strRef>
          </c:tx>
          <c:layout>
            <c:manualLayout>
              <c:xMode val="edge"/>
              <c:yMode val="edge"/>
              <c:x val="0"/>
              <c:y val="0.22695220619546452"/>
            </c:manualLayout>
          </c:layout>
          <c:overlay val="0"/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#,##0_ ;[Red]\-#,##0\ 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588560608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0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strRef>
          <c:f>languages!$A$82</c:f>
          <c:strCache>
            <c:ptCount val="1"/>
            <c:pt idx="0">
              <c:v> Periodo de Amortización vs. Variación de Costos para Mantención y Reparación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8507012498642608"/>
          <c:y val="0.22578844980363727"/>
          <c:w val="0.67727458612241598"/>
          <c:h val="0.55027459488778896"/>
        </c:manualLayout>
      </c:layout>
      <c:lineChart>
        <c:grouping val="standard"/>
        <c:varyColors val="0"/>
        <c:ser>
          <c:idx val="0"/>
          <c:order val="0"/>
          <c:tx>
            <c:v>PBR realtivo Mantenimiento y Reparaciones</c:v>
          </c:tx>
          <c:spPr>
            <a:ln w="38100">
              <a:noFill/>
              <a:prstDash val="solid"/>
            </a:ln>
          </c:spPr>
          <c:marker>
            <c:symbol val="square"/>
            <c:size val="6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'Calc Sensitivity'!$B$233:$H$233</c:f>
              <c:numCache>
                <c:formatCode>0%</c:formatCode>
                <c:ptCount val="7"/>
                <c:pt idx="0">
                  <c:v>-0.3</c:v>
                </c:pt>
                <c:pt idx="1">
                  <c:v>-0.2</c:v>
                </c:pt>
                <c:pt idx="2">
                  <c:v>-0.1</c:v>
                </c:pt>
                <c:pt idx="3">
                  <c:v>0</c:v>
                </c:pt>
                <c:pt idx="4">
                  <c:v>0.1</c:v>
                </c:pt>
                <c:pt idx="5">
                  <c:v>0.2</c:v>
                </c:pt>
                <c:pt idx="6">
                  <c:v>0.3</c:v>
                </c:pt>
              </c:numCache>
            </c:numRef>
          </c:cat>
          <c:val>
            <c:numRef>
              <c:f>'Calc Sensitivity'!$B$234:$H$234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826240"/>
        <c:axId val="327821536"/>
      </c:lineChart>
      <c:catAx>
        <c:axId val="327826240"/>
        <c:scaling>
          <c:orientation val="minMax"/>
        </c:scaling>
        <c:delete val="0"/>
        <c:axPos val="b"/>
        <c:title>
          <c:tx>
            <c:strRef>
              <c:f>languages!$A$84</c:f>
              <c:strCache>
                <c:ptCount val="1"/>
                <c:pt idx="0">
                  <c:v> % Variación </c:v>
                </c:pt>
              </c:strCache>
            </c:strRef>
          </c:tx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1536"/>
        <c:crosses val="autoZero"/>
        <c:auto val="1"/>
        <c:lblAlgn val="ctr"/>
        <c:lblOffset val="100"/>
        <c:noMultiLvlLbl val="0"/>
      </c:catAx>
      <c:valAx>
        <c:axId val="32782153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strRef>
              <c:f>languages!$A$83</c:f>
              <c:strCache>
                <c:ptCount val="1"/>
                <c:pt idx="0">
                  <c:v> Periodo de Amortización en Años </c:v>
                </c:pt>
              </c:strCache>
            </c:strRef>
          </c:tx>
          <c:layout>
            <c:manualLayout>
              <c:xMode val="edge"/>
              <c:yMode val="edge"/>
              <c:x val="1.4606074707224583E-2"/>
              <c:y val="0.1174254101629522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6240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5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languages!$A$73</c:f>
          <c:strCache>
            <c:ptCount val="1"/>
            <c:pt idx="0">
              <c:v> Desempeño DSCR en Caso Base y Bajo Supuestos de Cálculo de Sensibilidad 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835513050139118"/>
          <c:y val="0.1838188846683258"/>
          <c:w val="0.59409518940939732"/>
          <c:h val="0.69910773861176456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Sensitivity'!$A$244</c:f>
              <c:strCache>
                <c:ptCount val="1"/>
                <c:pt idx="0">
                  <c:v>DSCR de Valores Iniciales</c:v>
                </c:pt>
              </c:strCache>
            </c:strRef>
          </c:tx>
          <c:marker>
            <c:symbol val="square"/>
            <c:size val="3"/>
          </c:marker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Sensitivity'!$B$244:$Q$244</c:f>
              <c:numCache>
                <c:formatCode>0.00</c:formatCode>
                <c:ptCount val="16"/>
                <c:pt idx="1">
                  <c:v>0.26224941778163396</c:v>
                </c:pt>
                <c:pt idx="2">
                  <c:v>0.29305412021857913</c:v>
                </c:pt>
                <c:pt idx="3">
                  <c:v>0.3282979690041532</c:v>
                </c:pt>
                <c:pt idx="4">
                  <c:v>0.23757724446887973</c:v>
                </c:pt>
                <c:pt idx="5">
                  <c:v>0.28425993810718564</c:v>
                </c:pt>
                <c:pt idx="6">
                  <c:v>0.33300823115764383</c:v>
                </c:pt>
                <c:pt idx="7">
                  <c:v>0.38392710638566968</c:v>
                </c:pt>
                <c:pt idx="8">
                  <c:v>0.43712739706824638</c:v>
                </c:pt>
                <c:pt idx="9">
                  <c:v>0.49272612997197252</c:v>
                </c:pt>
                <c:pt idx="10">
                  <c:v>0.54518026901173566</c:v>
                </c:pt>
                <c:pt idx="11">
                  <c:v>0.59319118504024315</c:v>
                </c:pt>
                <c:pt idx="12">
                  <c:v>0.6434065407980305</c:v>
                </c:pt>
                <c:pt idx="13">
                  <c:v>0.69594140929495807</c:v>
                </c:pt>
                <c:pt idx="14">
                  <c:v>0.75091737616207599</c:v>
                </c:pt>
                <c:pt idx="15">
                  <c:v>0.80846292443040324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Sensitivity'!$A$245</c:f>
              <c:strCache>
                <c:ptCount val="1"/>
                <c:pt idx="0">
                  <c:v>DSCR Método Cálculo de Sensibilidad</c:v>
                </c:pt>
              </c:strCache>
            </c:strRef>
          </c:tx>
          <c:marker>
            <c:symbol val="square"/>
            <c:size val="4"/>
          </c:marker>
          <c:dPt>
            <c:idx val="14"/>
            <c:bubble3D val="0"/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</c:dPt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Sensitivity'!$B$245:$Q$245</c:f>
              <c:numCache>
                <c:formatCode>#,##0.0_ ;[Red]\-#,##0.0\ </c:formatCode>
                <c:ptCount val="16"/>
                <c:pt idx="1">
                  <c:v>0.26224941778163396</c:v>
                </c:pt>
                <c:pt idx="2">
                  <c:v>0.29305412021857913</c:v>
                </c:pt>
                <c:pt idx="3">
                  <c:v>0.3282979690041532</c:v>
                </c:pt>
                <c:pt idx="4">
                  <c:v>0.23757724446887973</c:v>
                </c:pt>
                <c:pt idx="5">
                  <c:v>0.28425993810718564</c:v>
                </c:pt>
                <c:pt idx="6">
                  <c:v>0.33300823115764383</c:v>
                </c:pt>
                <c:pt idx="7">
                  <c:v>0.38392710638566968</c:v>
                </c:pt>
                <c:pt idx="8">
                  <c:v>0.43712739706824638</c:v>
                </c:pt>
                <c:pt idx="9">
                  <c:v>0.49272612997197252</c:v>
                </c:pt>
                <c:pt idx="10">
                  <c:v>0.54518026901173566</c:v>
                </c:pt>
                <c:pt idx="11">
                  <c:v>0.59319118504024315</c:v>
                </c:pt>
                <c:pt idx="12">
                  <c:v>0.6434065407980305</c:v>
                </c:pt>
                <c:pt idx="13">
                  <c:v>0.69594140929495807</c:v>
                </c:pt>
                <c:pt idx="14">
                  <c:v>0.75091737616207599</c:v>
                </c:pt>
                <c:pt idx="15">
                  <c:v>0.80846292443040324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'Calc Sensitivity'!$A$246</c:f>
              <c:strCache>
                <c:ptCount val="1"/>
                <c:pt idx="0">
                  <c:v>Banda de Medición</c:v>
                </c:pt>
              </c:strCache>
            </c:strRef>
          </c:tx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Sensitivity'!$B$246:$Q$246</c:f>
              <c:numCache>
                <c:formatCode>General</c:formatCode>
                <c:ptCount val="16"/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  <c:pt idx="14">
                  <c:v>1.4</c:v>
                </c:pt>
                <c:pt idx="15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153592"/>
        <c:axId val="641149280"/>
      </c:lineChart>
      <c:catAx>
        <c:axId val="641153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49280"/>
        <c:crosses val="autoZero"/>
        <c:auto val="1"/>
        <c:lblAlgn val="ctr"/>
        <c:lblOffset val="100"/>
        <c:noMultiLvlLbl val="0"/>
      </c:catAx>
      <c:valAx>
        <c:axId val="641149280"/>
        <c:scaling>
          <c:orientation val="minMax"/>
          <c:max val="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5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18212412305187"/>
          <c:y val="0.57073587073009513"/>
          <c:w val="0.22781787587694813"/>
          <c:h val="0.33554627187493979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languages!$A$67</c:f>
          <c:strCache>
            <c:ptCount val="1"/>
            <c:pt idx="0">
              <c:v> Utilidad Anual Después de Impuestos (US$) </c:v>
            </c:pt>
          </c:strCache>
        </c:strRef>
      </c:tx>
      <c:layout>
        <c:manualLayout>
          <c:xMode val="edge"/>
          <c:yMode val="edge"/>
          <c:x val="0.16971847906766757"/>
          <c:y val="2.1655261489604997E-2"/>
        </c:manualLayout>
      </c:layout>
      <c:overlay val="0"/>
      <c:txPr>
        <a:bodyPr/>
        <a:lstStyle/>
        <a:p>
          <a:pPr algn="ctr" rtl="0"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415570297807262"/>
          <c:y val="0.13457679160181024"/>
          <c:w val="0.56896393965034975"/>
          <c:h val="0.77310142202373955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Sensitivity'!$A$238</c:f>
              <c:strCache>
                <c:ptCount val="1"/>
                <c:pt idx="0">
                  <c:v>Utilidad Anual Escenario Base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Sensitivity'!$B$237:$V$237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Sensitivity'!$B$238:$V$238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-1674.2666666666664</c:v>
                </c:pt>
                <c:pt idx="2">
                  <c:v>-1581.9375360000004</c:v>
                </c:pt>
                <c:pt idx="3">
                  <c:v>-1478.7435467558394</c:v>
                </c:pt>
                <c:pt idx="4">
                  <c:v>-1333.4349368956791</c:v>
                </c:pt>
                <c:pt idx="5">
                  <c:v>-1116.0006537965742</c:v>
                </c:pt>
                <c:pt idx="6">
                  <c:v>-888.94541499960178</c:v>
                </c:pt>
                <c:pt idx="7">
                  <c:v>-651.78024160151517</c:v>
                </c:pt>
                <c:pt idx="8">
                  <c:v>-403.98890473362326</c:v>
                </c:pt>
                <c:pt idx="9">
                  <c:v>-145.02632807072678</c:v>
                </c:pt>
                <c:pt idx="10">
                  <c:v>99.289653480366098</c:v>
                </c:pt>
                <c:pt idx="11">
                  <c:v>322.91040656869848</c:v>
                </c:pt>
                <c:pt idx="12">
                  <c:v>556.79879279501654</c:v>
                </c:pt>
                <c:pt idx="13">
                  <c:v>801.49078845916722</c:v>
                </c:pt>
                <c:pt idx="14">
                  <c:v>1057.5527037386923</c:v>
                </c:pt>
                <c:pt idx="15">
                  <c:v>1325.5829748754363</c:v>
                </c:pt>
                <c:pt idx="16">
                  <c:v>1606.2140644692254</c:v>
                </c:pt>
                <c:pt idx="17">
                  <c:v>1900.1144764622481</c:v>
                </c:pt>
                <c:pt idx="18">
                  <c:v>2207.990892800417</c:v>
                </c:pt>
                <c:pt idx="19">
                  <c:v>2530.5904391852655</c:v>
                </c:pt>
                <c:pt idx="20">
                  <c:v>2858.3234845193529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Sensitivity'!$A$239</c:f>
              <c:strCache>
                <c:ptCount val="1"/>
                <c:pt idx="0">
                  <c:v>Utilidad Anual Escenario Sensibilidad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Sensitivity'!$B$237:$V$237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Sensitivity'!$B$239:$V$239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-1674.2666666666664</c:v>
                </c:pt>
                <c:pt idx="2">
                  <c:v>-1581.9375360000004</c:v>
                </c:pt>
                <c:pt idx="3">
                  <c:v>-1478.7435467558394</c:v>
                </c:pt>
                <c:pt idx="4">
                  <c:v>-1333.4349368956791</c:v>
                </c:pt>
                <c:pt idx="5">
                  <c:v>-1116.0006537965742</c:v>
                </c:pt>
                <c:pt idx="6">
                  <c:v>-888.94541499960178</c:v>
                </c:pt>
                <c:pt idx="7">
                  <c:v>-651.78024160151517</c:v>
                </c:pt>
                <c:pt idx="8">
                  <c:v>-403.98890473362326</c:v>
                </c:pt>
                <c:pt idx="9">
                  <c:v>-145.02632807072678</c:v>
                </c:pt>
                <c:pt idx="10">
                  <c:v>99.289653480366098</c:v>
                </c:pt>
                <c:pt idx="11">
                  <c:v>322.91040656869848</c:v>
                </c:pt>
                <c:pt idx="12">
                  <c:v>556.79879279501654</c:v>
                </c:pt>
                <c:pt idx="13">
                  <c:v>801.49078845916722</c:v>
                </c:pt>
                <c:pt idx="14">
                  <c:v>1057.5527037386923</c:v>
                </c:pt>
                <c:pt idx="15">
                  <c:v>1325.5829748754363</c:v>
                </c:pt>
                <c:pt idx="16">
                  <c:v>1606.2140644692254</c:v>
                </c:pt>
                <c:pt idx="17">
                  <c:v>1900.1144764622481</c:v>
                </c:pt>
                <c:pt idx="18">
                  <c:v>2207.990892800417</c:v>
                </c:pt>
                <c:pt idx="19">
                  <c:v>2530.5904391852655</c:v>
                </c:pt>
                <c:pt idx="20">
                  <c:v>2858.3234845193529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153984"/>
        <c:axId val="641154376"/>
      </c:lineChart>
      <c:catAx>
        <c:axId val="6411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54376"/>
        <c:crosses val="autoZero"/>
        <c:auto val="1"/>
        <c:lblAlgn val="ctr"/>
        <c:lblOffset val="100"/>
        <c:noMultiLvlLbl val="0"/>
      </c:catAx>
      <c:valAx>
        <c:axId val="64115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L"/>
                  <a:t>US$</a:t>
                </a:r>
              </a:p>
            </c:rich>
          </c:tx>
          <c:overlay val="0"/>
        </c:title>
        <c:numFmt formatCode="#,##0_ ;[Red]\-#,##0\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5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3750648515874284"/>
          <c:y val="0.56409756906797492"/>
          <c:w val="0.98407949006374196"/>
          <c:h val="0.95269097006215087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languages!$A$70</c:f>
          <c:strCache>
            <c:ptCount val="1"/>
            <c:pt idx="0">
              <c:v> Utilidad Acumulada Después de Impuestos (US$) 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8232934743067697"/>
          <c:y val="0.14899337788037684"/>
          <c:w val="0.56892894771132341"/>
          <c:h val="0.72043385236269453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Sensitivity'!$A$241</c:f>
              <c:strCache>
                <c:ptCount val="1"/>
                <c:pt idx="0">
                  <c:v>Utilidad Acumulada Valores de Salida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Sensitivity'!$B$240:$V$240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Sensitivity'!$B$241:$V$241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-62674.266666666663</c:v>
                </c:pt>
                <c:pt idx="2">
                  <c:v>-64256.20420266666</c:v>
                </c:pt>
                <c:pt idx="3">
                  <c:v>-65734.947749422499</c:v>
                </c:pt>
                <c:pt idx="4">
                  <c:v>-67068.382686318175</c:v>
                </c:pt>
                <c:pt idx="5">
                  <c:v>-68184.383340114742</c:v>
                </c:pt>
                <c:pt idx="6">
                  <c:v>-69073.328755114344</c:v>
                </c:pt>
                <c:pt idx="7">
                  <c:v>-69725.108996715862</c:v>
                </c:pt>
                <c:pt idx="8">
                  <c:v>-70129.097901449481</c:v>
                </c:pt>
                <c:pt idx="9">
                  <c:v>-70274.12422952021</c:v>
                </c:pt>
                <c:pt idx="10">
                  <c:v>-70174.834576039837</c:v>
                </c:pt>
                <c:pt idx="11">
                  <c:v>-69851.924169471138</c:v>
                </c:pt>
                <c:pt idx="12">
                  <c:v>-69295.125376676122</c:v>
                </c:pt>
                <c:pt idx="13">
                  <c:v>-68493.634588216955</c:v>
                </c:pt>
                <c:pt idx="14">
                  <c:v>-67436.081884478263</c:v>
                </c:pt>
                <c:pt idx="15">
                  <c:v>-66110.498909602829</c:v>
                </c:pt>
                <c:pt idx="16">
                  <c:v>-64504.284845133603</c:v>
                </c:pt>
                <c:pt idx="17">
                  <c:v>-62604.170368671352</c:v>
                </c:pt>
                <c:pt idx="18">
                  <c:v>-60396.179475870937</c:v>
                </c:pt>
                <c:pt idx="19">
                  <c:v>-57865.589036685669</c:v>
                </c:pt>
                <c:pt idx="20">
                  <c:v>-55007.265552166318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Sensitivity'!$A$242</c:f>
              <c:strCache>
                <c:ptCount val="1"/>
                <c:pt idx="0">
                  <c:v>Utilidad Acumulada Método Cálculo de Variantes</c:v>
                </c:pt>
              </c:strCache>
            </c:strRef>
          </c:tx>
          <c:marker>
            <c:symbol val="none"/>
          </c:marker>
          <c:cat>
            <c:numRef>
              <c:f>'Calc Sensitivity'!$B$240:$V$240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Sensitivity'!$B$242:$V$242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-62674.266666666663</c:v>
                </c:pt>
                <c:pt idx="2">
                  <c:v>-64256.20420266666</c:v>
                </c:pt>
                <c:pt idx="3">
                  <c:v>-65734.947749422499</c:v>
                </c:pt>
                <c:pt idx="4">
                  <c:v>-67068.382686318175</c:v>
                </c:pt>
                <c:pt idx="5">
                  <c:v>-68184.383340114742</c:v>
                </c:pt>
                <c:pt idx="6">
                  <c:v>-69073.328755114344</c:v>
                </c:pt>
                <c:pt idx="7">
                  <c:v>-69725.108996715862</c:v>
                </c:pt>
                <c:pt idx="8">
                  <c:v>-70129.097901449481</c:v>
                </c:pt>
                <c:pt idx="9">
                  <c:v>-70274.12422952021</c:v>
                </c:pt>
                <c:pt idx="10">
                  <c:v>-70174.834576039837</c:v>
                </c:pt>
                <c:pt idx="11">
                  <c:v>-69851.924169471138</c:v>
                </c:pt>
                <c:pt idx="12">
                  <c:v>-69295.125376676122</c:v>
                </c:pt>
                <c:pt idx="13">
                  <c:v>-68493.634588216955</c:v>
                </c:pt>
                <c:pt idx="14">
                  <c:v>-67436.081884478263</c:v>
                </c:pt>
                <c:pt idx="15">
                  <c:v>-66110.498909602829</c:v>
                </c:pt>
                <c:pt idx="16">
                  <c:v>-64504.284845133603</c:v>
                </c:pt>
                <c:pt idx="17">
                  <c:v>-62604.170368671352</c:v>
                </c:pt>
                <c:pt idx="18">
                  <c:v>-60396.179475870937</c:v>
                </c:pt>
                <c:pt idx="19">
                  <c:v>-57865.589036685669</c:v>
                </c:pt>
                <c:pt idx="20">
                  <c:v>-55007.265552166318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22712"/>
        <c:axId val="327822320"/>
      </c:lineChart>
      <c:catAx>
        <c:axId val="32782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2320"/>
        <c:crosses val="autoZero"/>
        <c:auto val="1"/>
        <c:lblAlgn val="ctr"/>
        <c:lblOffset val="100"/>
        <c:noMultiLvlLbl val="0"/>
      </c:catAx>
      <c:valAx>
        <c:axId val="32782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L"/>
                  <a:t>US$</a:t>
                </a:r>
              </a:p>
            </c:rich>
          </c:tx>
          <c:layout/>
          <c:overlay val="0"/>
        </c:title>
        <c:numFmt formatCode="#,##0_ ;[Red]\-#,##0\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2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503512341856148"/>
          <c:y val="0.59651434299189421"/>
          <c:w val="0.23904438349700663"/>
          <c:h val="0.3561769017283436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languages!$A$67</c:f>
          <c:strCache>
            <c:ptCount val="1"/>
            <c:pt idx="0">
              <c:v> Utilidad Anual Después de Impuestos (US$) </c:v>
            </c:pt>
          </c:strCache>
        </c:strRef>
      </c:tx>
      <c:layout>
        <c:manualLayout>
          <c:xMode val="edge"/>
          <c:yMode val="edge"/>
          <c:x val="0.16971856533716825"/>
          <c:y val="2.165524611436993E-2"/>
        </c:manualLayout>
      </c:layout>
      <c:overlay val="0"/>
      <c:txPr>
        <a:bodyPr/>
        <a:lstStyle/>
        <a:p>
          <a:pPr algn="ctr" rtl="0"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835517709800766"/>
          <c:y val="0.13457671357417006"/>
          <c:w val="0.56896393965034975"/>
          <c:h val="0.77978389806227566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Sensitivity'!$A$238</c:f>
              <c:strCache>
                <c:ptCount val="1"/>
                <c:pt idx="0">
                  <c:v>Utilidad Anual Escenario Base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Sensitivity'!$B$237:$V$237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Sensitivity'!$B$238:$V$238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-1674.2666666666664</c:v>
                </c:pt>
                <c:pt idx="2">
                  <c:v>-1581.9375360000004</c:v>
                </c:pt>
                <c:pt idx="3">
                  <c:v>-1478.7435467558394</c:v>
                </c:pt>
                <c:pt idx="4">
                  <c:v>-1333.4349368956791</c:v>
                </c:pt>
                <c:pt idx="5">
                  <c:v>-1116.0006537965742</c:v>
                </c:pt>
                <c:pt idx="6">
                  <c:v>-888.94541499960178</c:v>
                </c:pt>
                <c:pt idx="7">
                  <c:v>-651.78024160151517</c:v>
                </c:pt>
                <c:pt idx="8">
                  <c:v>-403.98890473362326</c:v>
                </c:pt>
                <c:pt idx="9">
                  <c:v>-145.02632807072678</c:v>
                </c:pt>
                <c:pt idx="10">
                  <c:v>99.289653480366098</c:v>
                </c:pt>
                <c:pt idx="11">
                  <c:v>322.91040656869848</c:v>
                </c:pt>
                <c:pt idx="12">
                  <c:v>556.79879279501654</c:v>
                </c:pt>
                <c:pt idx="13">
                  <c:v>801.49078845916722</c:v>
                </c:pt>
                <c:pt idx="14">
                  <c:v>1057.5527037386923</c:v>
                </c:pt>
                <c:pt idx="15">
                  <c:v>1325.5829748754363</c:v>
                </c:pt>
                <c:pt idx="16">
                  <c:v>1606.2140644692254</c:v>
                </c:pt>
                <c:pt idx="17">
                  <c:v>1900.1144764622481</c:v>
                </c:pt>
                <c:pt idx="18">
                  <c:v>2207.990892800417</c:v>
                </c:pt>
                <c:pt idx="19">
                  <c:v>2530.5904391852655</c:v>
                </c:pt>
                <c:pt idx="20">
                  <c:v>2858.3234845193529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Sensitivity'!$A$239</c:f>
              <c:strCache>
                <c:ptCount val="1"/>
                <c:pt idx="0">
                  <c:v>Utilidad Anual Escenario Sensibilidad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Sensitivity'!$B$237:$V$237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'Calc Sensitivity'!$B$239:$V$239</c:f>
              <c:numCache>
                <c:formatCode>#,##0_ ;[Red]\-#,##0\ </c:formatCode>
                <c:ptCount val="21"/>
                <c:pt idx="0">
                  <c:v>-61000</c:v>
                </c:pt>
                <c:pt idx="1">
                  <c:v>-1674.2666666666664</c:v>
                </c:pt>
                <c:pt idx="2">
                  <c:v>-1581.9375360000004</c:v>
                </c:pt>
                <c:pt idx="3">
                  <c:v>-1478.7435467558394</c:v>
                </c:pt>
                <c:pt idx="4">
                  <c:v>-1333.4349368956791</c:v>
                </c:pt>
                <c:pt idx="5">
                  <c:v>-1116.0006537965742</c:v>
                </c:pt>
                <c:pt idx="6">
                  <c:v>-888.94541499960178</c:v>
                </c:pt>
                <c:pt idx="7">
                  <c:v>-651.78024160151517</c:v>
                </c:pt>
                <c:pt idx="8">
                  <c:v>-403.98890473362326</c:v>
                </c:pt>
                <c:pt idx="9">
                  <c:v>-145.02632807072678</c:v>
                </c:pt>
                <c:pt idx="10">
                  <c:v>99.289653480366098</c:v>
                </c:pt>
                <c:pt idx="11">
                  <c:v>322.91040656869848</c:v>
                </c:pt>
                <c:pt idx="12">
                  <c:v>556.79879279501654</c:v>
                </c:pt>
                <c:pt idx="13">
                  <c:v>801.49078845916722</c:v>
                </c:pt>
                <c:pt idx="14">
                  <c:v>1057.5527037386923</c:v>
                </c:pt>
                <c:pt idx="15">
                  <c:v>1325.5829748754363</c:v>
                </c:pt>
                <c:pt idx="16">
                  <c:v>1606.2140644692254</c:v>
                </c:pt>
                <c:pt idx="17">
                  <c:v>1900.1144764622481</c:v>
                </c:pt>
                <c:pt idx="18">
                  <c:v>2207.990892800417</c:v>
                </c:pt>
                <c:pt idx="19">
                  <c:v>2530.5904391852655</c:v>
                </c:pt>
                <c:pt idx="20">
                  <c:v>2858.3234845193529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27024"/>
        <c:axId val="327828200"/>
      </c:lineChart>
      <c:catAx>
        <c:axId val="32782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8200"/>
        <c:crosses val="autoZero"/>
        <c:auto val="1"/>
        <c:lblAlgn val="ctr"/>
        <c:lblOffset val="100"/>
        <c:noMultiLvlLbl val="0"/>
      </c:catAx>
      <c:valAx>
        <c:axId val="32782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L"/>
                  <a:t>US$</a:t>
                </a:r>
              </a:p>
            </c:rich>
          </c:tx>
          <c:layout/>
          <c:overlay val="0"/>
        </c:title>
        <c:numFmt formatCode="#,##0_ ;[Red]\-#,##0\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7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75066504511063"/>
          <c:y val="0.56409754149858782"/>
          <c:w val="0.24657310169937885"/>
          <c:h val="0.38859353990147205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languages!$A$73</c:f>
          <c:strCache>
            <c:ptCount val="1"/>
            <c:pt idx="0">
              <c:v> Desempeño DSCR en Caso Base y Bajo Supuestos de Cálculo de Sensibilidad 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835513050139118"/>
          <c:y val="0.13991214312294784"/>
          <c:w val="0.59409518940939732"/>
          <c:h val="0.7430144570136149"/>
        </c:manualLayout>
      </c:layout>
      <c:lineChart>
        <c:grouping val="standard"/>
        <c:varyColors val="0"/>
        <c:ser>
          <c:idx val="0"/>
          <c:order val="0"/>
          <c:tx>
            <c:strRef>
              <c:f>'Calc Sensitivity'!$A$244</c:f>
              <c:strCache>
                <c:ptCount val="1"/>
                <c:pt idx="0">
                  <c:v>DSCR de Valores Iniciales</c:v>
                </c:pt>
              </c:strCache>
            </c:strRef>
          </c:tx>
          <c:marker>
            <c:symbol val="square"/>
            <c:size val="3"/>
          </c:marker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Sensitivity'!$B$244:$Q$244</c:f>
              <c:numCache>
                <c:formatCode>0.00</c:formatCode>
                <c:ptCount val="16"/>
                <c:pt idx="1">
                  <c:v>0.26224941778163396</c:v>
                </c:pt>
                <c:pt idx="2">
                  <c:v>0.29305412021857913</c:v>
                </c:pt>
                <c:pt idx="3">
                  <c:v>0.3282979690041532</c:v>
                </c:pt>
                <c:pt idx="4">
                  <c:v>0.23757724446887973</c:v>
                </c:pt>
                <c:pt idx="5">
                  <c:v>0.28425993810718564</c:v>
                </c:pt>
                <c:pt idx="6">
                  <c:v>0.33300823115764383</c:v>
                </c:pt>
                <c:pt idx="7">
                  <c:v>0.38392710638566968</c:v>
                </c:pt>
                <c:pt idx="8">
                  <c:v>0.43712739706824638</c:v>
                </c:pt>
                <c:pt idx="9">
                  <c:v>0.49272612997197252</c:v>
                </c:pt>
                <c:pt idx="10">
                  <c:v>0.54518026901173566</c:v>
                </c:pt>
                <c:pt idx="11">
                  <c:v>0.59319118504024315</c:v>
                </c:pt>
                <c:pt idx="12">
                  <c:v>0.6434065407980305</c:v>
                </c:pt>
                <c:pt idx="13">
                  <c:v>0.69594140929495807</c:v>
                </c:pt>
                <c:pt idx="14">
                  <c:v>0.75091737616207599</c:v>
                </c:pt>
                <c:pt idx="15">
                  <c:v>0.80846292443040324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 Sensitivity'!$A$245</c:f>
              <c:strCache>
                <c:ptCount val="1"/>
                <c:pt idx="0">
                  <c:v>DSCR Método Cálculo de Sensibilidad</c:v>
                </c:pt>
              </c:strCache>
            </c:strRef>
          </c:tx>
          <c:marker>
            <c:symbol val="square"/>
            <c:size val="4"/>
          </c:marker>
          <c:dPt>
            <c:idx val="14"/>
            <c:bubble3D val="0"/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</c:dPt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Sensitivity'!$B$245:$Q$245</c:f>
              <c:numCache>
                <c:formatCode>#,##0.0_ ;[Red]\-#,##0.0\ </c:formatCode>
                <c:ptCount val="16"/>
                <c:pt idx="1">
                  <c:v>0.26224941778163396</c:v>
                </c:pt>
                <c:pt idx="2">
                  <c:v>0.29305412021857913</c:v>
                </c:pt>
                <c:pt idx="3">
                  <c:v>0.3282979690041532</c:v>
                </c:pt>
                <c:pt idx="4">
                  <c:v>0.23757724446887973</c:v>
                </c:pt>
                <c:pt idx="5">
                  <c:v>0.28425993810718564</c:v>
                </c:pt>
                <c:pt idx="6">
                  <c:v>0.33300823115764383</c:v>
                </c:pt>
                <c:pt idx="7">
                  <c:v>0.38392710638566968</c:v>
                </c:pt>
                <c:pt idx="8">
                  <c:v>0.43712739706824638</c:v>
                </c:pt>
                <c:pt idx="9">
                  <c:v>0.49272612997197252</c:v>
                </c:pt>
                <c:pt idx="10">
                  <c:v>0.54518026901173566</c:v>
                </c:pt>
                <c:pt idx="11">
                  <c:v>0.59319118504024315</c:v>
                </c:pt>
                <c:pt idx="12">
                  <c:v>0.6434065407980305</c:v>
                </c:pt>
                <c:pt idx="13">
                  <c:v>0.69594140929495807</c:v>
                </c:pt>
                <c:pt idx="14">
                  <c:v>0.75091737616207599</c:v>
                </c:pt>
                <c:pt idx="15">
                  <c:v>0.80846292443040324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'Calc Sensitivity'!$A$246</c:f>
              <c:strCache>
                <c:ptCount val="1"/>
                <c:pt idx="0">
                  <c:v>Banda de Medición</c:v>
                </c:pt>
              </c:strCache>
            </c:strRef>
          </c:tx>
          <c:cat>
            <c:numRef>
              <c:f>'Calc Sensitivity'!$B$243:$Q$243</c:f>
              <c:numCache>
                <c:formatCode>General</c:formatCode>
                <c:ptCount val="1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</c:numCache>
            </c:numRef>
          </c:cat>
          <c:val>
            <c:numRef>
              <c:f>'Calc Sensitivity'!$B$246:$Q$246</c:f>
              <c:numCache>
                <c:formatCode>General</c:formatCode>
                <c:ptCount val="16"/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  <c:pt idx="14">
                  <c:v>1.4</c:v>
                </c:pt>
                <c:pt idx="15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148888"/>
        <c:axId val="641152808"/>
      </c:lineChart>
      <c:catAx>
        <c:axId val="64114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52808"/>
        <c:crosses val="autoZero"/>
        <c:auto val="1"/>
        <c:lblAlgn val="ctr"/>
        <c:lblOffset val="100"/>
        <c:noMultiLvlLbl val="0"/>
      </c:catAx>
      <c:valAx>
        <c:axId val="641152808"/>
        <c:scaling>
          <c:orientation val="minMax"/>
          <c:max val="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641148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18214690469222"/>
          <c:y val="0.69182916120859661"/>
          <c:w val="0.22781785309530778"/>
          <c:h val="0.21445287346394315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strRef>
          <c:f>languages!$A$79</c:f>
          <c:strCache>
            <c:ptCount val="1"/>
            <c:pt idx="0">
              <c:v> Periodo de Amortización vs. Variación de Ingresos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6978218972417392"/>
          <c:y val="0.23643500346340338"/>
          <c:w val="0.68928052489170777"/>
          <c:h val="0.56057209899720439"/>
        </c:manualLayout>
      </c:layout>
      <c:lineChart>
        <c:grouping val="standard"/>
        <c:varyColors val="0"/>
        <c:ser>
          <c:idx val="3"/>
          <c:order val="0"/>
          <c:tx>
            <c:v>PBR relativo a ingresos anuales</c:v>
          </c:tx>
          <c:spPr>
            <a:ln w="38100">
              <a:noFill/>
              <a:prstDash val="solid"/>
            </a:ln>
          </c:spPr>
          <c:marker>
            <c:symbol val="x"/>
            <c:size val="5"/>
            <c:spPr>
              <a:solidFill>
                <a:schemeClr val="accent6">
                  <a:lumMod val="75000"/>
                  <a:alpha val="81000"/>
                </a:schemeClr>
              </a:solidFill>
            </c:spPr>
          </c:marker>
          <c:cat>
            <c:numRef>
              <c:f>'Calc Sensitivity'!$B$182:$H$182</c:f>
              <c:numCache>
                <c:formatCode>0%</c:formatCode>
                <c:ptCount val="7"/>
                <c:pt idx="0">
                  <c:v>-0.3</c:v>
                </c:pt>
                <c:pt idx="1">
                  <c:v>-0.2</c:v>
                </c:pt>
                <c:pt idx="2">
                  <c:v>-0.1</c:v>
                </c:pt>
                <c:pt idx="3">
                  <c:v>0</c:v>
                </c:pt>
                <c:pt idx="4">
                  <c:v>0.1</c:v>
                </c:pt>
                <c:pt idx="5">
                  <c:v>0.2</c:v>
                </c:pt>
                <c:pt idx="6">
                  <c:v>0.3</c:v>
                </c:pt>
              </c:numCache>
            </c:numRef>
          </c:cat>
          <c:val>
            <c:numRef>
              <c:f>'Calc Sensitivity'!$B$183:$H$183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19.333333333333332</c:v>
                </c:pt>
                <c:pt idx="5">
                  <c:v>17.75</c:v>
                </c:pt>
                <c:pt idx="6">
                  <c:v>16.416666666666668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821928"/>
        <c:axId val="327828592"/>
      </c:lineChart>
      <c:catAx>
        <c:axId val="327821928"/>
        <c:scaling>
          <c:orientation val="minMax"/>
        </c:scaling>
        <c:delete val="0"/>
        <c:axPos val="b"/>
        <c:title>
          <c:tx>
            <c:strRef>
              <c:f>languages!$A$81</c:f>
              <c:strCache>
                <c:ptCount val="1"/>
                <c:pt idx="0">
                  <c:v> % Variación </c:v>
                </c:pt>
              </c:strCache>
            </c:strRef>
          </c:tx>
          <c:layout>
            <c:manualLayout>
              <c:xMode val="edge"/>
              <c:yMode val="edge"/>
              <c:x val="0.38578556185149754"/>
              <c:y val="0.9080730025025941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8592"/>
        <c:crosses val="autoZero"/>
        <c:auto val="1"/>
        <c:lblAlgn val="ctr"/>
        <c:lblOffset val="100"/>
        <c:noMultiLvlLbl val="0"/>
      </c:catAx>
      <c:valAx>
        <c:axId val="32782859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strRef>
              <c:f>languages!$A$80</c:f>
              <c:strCache>
                <c:ptCount val="1"/>
                <c:pt idx="0">
                  <c:v> Periodo de Amortización (años) </c:v>
                </c:pt>
              </c:strCache>
            </c:strRef>
          </c:tx>
          <c:layout>
            <c:manualLayout>
              <c:xMode val="edge"/>
              <c:yMode val="edge"/>
              <c:x val="1.3958839257242377E-2"/>
              <c:y val="0.2112661498708010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1928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5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languages!$A$89</c:f>
          <c:strCache>
            <c:ptCount val="1"/>
            <c:pt idx="0">
              <c:v> Sensibilidad del Valor Presente Neto en Función de los Costos de Inversión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5211589972467643"/>
          <c:y val="0.24964025487355293"/>
          <c:w val="0.74252011083296121"/>
          <c:h val="0.55604643405040932"/>
        </c:manualLayout>
      </c:layout>
      <c:lineChart>
        <c:grouping val="standard"/>
        <c:varyColors val="0"/>
        <c:ser>
          <c:idx val="2"/>
          <c:order val="0"/>
          <c:tx>
            <c:v>VPN relativo a Costo de Inversión</c:v>
          </c:tx>
          <c:spPr>
            <a:ln w="38100">
              <a:solidFill>
                <a:srgbClr val="F79646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'Calc Sensitivity'!$C$120:$O$120</c:f>
              <c:numCache>
                <c:formatCode>0%</c:formatCode>
                <c:ptCount val="13"/>
                <c:pt idx="0">
                  <c:v>-0.6</c:v>
                </c:pt>
                <c:pt idx="1">
                  <c:v>-0.5</c:v>
                </c:pt>
                <c:pt idx="2">
                  <c:v>-0.4</c:v>
                </c:pt>
                <c:pt idx="3">
                  <c:v>-0.3</c:v>
                </c:pt>
                <c:pt idx="4">
                  <c:v>-0.2</c:v>
                </c:pt>
                <c:pt idx="5">
                  <c:v>-0.1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0.3</c:v>
                </c:pt>
                <c:pt idx="10">
                  <c:v>0.4</c:v>
                </c:pt>
                <c:pt idx="11">
                  <c:v>0.5</c:v>
                </c:pt>
                <c:pt idx="12">
                  <c:v>0.6</c:v>
                </c:pt>
              </c:numCache>
            </c:numRef>
          </c:cat>
          <c:val>
            <c:numRef>
              <c:f>'Calc Sensitivity'!$C$122:$O$122</c:f>
              <c:numCache>
                <c:formatCode>#,##0_ ;[Red]\-#,##0\ </c:formatCode>
                <c:ptCount val="13"/>
                <c:pt idx="0">
                  <c:v>-7139.1657247818985</c:v>
                </c:pt>
                <c:pt idx="1">
                  <c:v>-13239.165724781898</c:v>
                </c:pt>
                <c:pt idx="2">
                  <c:v>-19339.165724781898</c:v>
                </c:pt>
                <c:pt idx="3">
                  <c:v>-25439.165724781898</c:v>
                </c:pt>
                <c:pt idx="4">
                  <c:v>-31539.165724781898</c:v>
                </c:pt>
                <c:pt idx="5">
                  <c:v>-37639.165724781895</c:v>
                </c:pt>
                <c:pt idx="6">
                  <c:v>-43739.165724781895</c:v>
                </c:pt>
                <c:pt idx="7">
                  <c:v>-49839.165724781895</c:v>
                </c:pt>
                <c:pt idx="8">
                  <c:v>-55939.165724781895</c:v>
                </c:pt>
                <c:pt idx="9">
                  <c:v>-62039.165724781895</c:v>
                </c:pt>
                <c:pt idx="10">
                  <c:v>-68139.165724781895</c:v>
                </c:pt>
                <c:pt idx="11">
                  <c:v>-74239.165724781895</c:v>
                </c:pt>
                <c:pt idx="12">
                  <c:v>-80339.165724781895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25456"/>
        <c:axId val="327824280"/>
      </c:lineChart>
      <c:catAx>
        <c:axId val="327825456"/>
        <c:scaling>
          <c:orientation val="minMax"/>
        </c:scaling>
        <c:delete val="0"/>
        <c:axPos val="b"/>
        <c:title>
          <c:tx>
            <c:strRef>
              <c:f>languages!$A$91</c:f>
              <c:strCache>
                <c:ptCount val="1"/>
                <c:pt idx="0">
                  <c:v> % Variación </c:v>
                </c:pt>
              </c:strCache>
            </c:strRef>
          </c:tx>
          <c:overlay val="0"/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%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4280"/>
        <c:crosses val="autoZero"/>
        <c:auto val="1"/>
        <c:lblAlgn val="ctr"/>
        <c:lblOffset val="100"/>
        <c:noMultiLvlLbl val="0"/>
      </c:catAx>
      <c:valAx>
        <c:axId val="3278242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strRef>
              <c:f>languages!$A$90</c:f>
              <c:strCache>
                <c:ptCount val="1"/>
                <c:pt idx="0">
                  <c:v> Valor Presente Neto en US$ </c:v>
                </c:pt>
              </c:strCache>
            </c:strRef>
          </c:tx>
          <c:overlay val="0"/>
          <c:txPr>
            <a:bodyPr/>
            <a:lstStyle/>
            <a:p>
              <a:pPr>
                <a:defRPr sz="12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#,##0_ ;[Red]\-#,##0\ 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5456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0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strRef>
          <c:f>languages!$A$92</c:f>
          <c:strCache>
            <c:ptCount val="1"/>
            <c:pt idx="0">
              <c:v> Valor Presente Neto en Función de la Tasa de Descuento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cap="small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5004994893799375"/>
          <c:y val="0.24960099619002157"/>
          <c:w val="0.74378656145605271"/>
          <c:h val="0.55347912171986635"/>
        </c:manualLayout>
      </c:layout>
      <c:lineChart>
        <c:grouping val="standard"/>
        <c:varyColors val="0"/>
        <c:ser>
          <c:idx val="2"/>
          <c:order val="0"/>
          <c:tx>
            <c:v>VPN relativo a Tasa de Descuento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'Calc Sensitivity'!$C$125:$O$125</c:f>
              <c:numCache>
                <c:formatCode>0%</c:formatCode>
                <c:ptCount val="13"/>
                <c:pt idx="0">
                  <c:v>-0.6</c:v>
                </c:pt>
                <c:pt idx="1">
                  <c:v>-0.5</c:v>
                </c:pt>
                <c:pt idx="2">
                  <c:v>-0.4</c:v>
                </c:pt>
                <c:pt idx="3">
                  <c:v>-0.3</c:v>
                </c:pt>
                <c:pt idx="4">
                  <c:v>-0.2</c:v>
                </c:pt>
                <c:pt idx="5">
                  <c:v>-0.1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0.3</c:v>
                </c:pt>
                <c:pt idx="10">
                  <c:v>0.4</c:v>
                </c:pt>
                <c:pt idx="11">
                  <c:v>0.5</c:v>
                </c:pt>
                <c:pt idx="12">
                  <c:v>0.6</c:v>
                </c:pt>
              </c:numCache>
            </c:numRef>
          </c:cat>
          <c:val>
            <c:numRef>
              <c:f>'Calc Sensitivity'!$C$127:$O$127</c:f>
              <c:numCache>
                <c:formatCode>#,##0_ ;[Red]\-#,##0\ </c:formatCode>
                <c:ptCount val="13"/>
                <c:pt idx="0">
                  <c:v>-27997.376258169679</c:v>
                </c:pt>
                <c:pt idx="1">
                  <c:v>-31646.28462943697</c:v>
                </c:pt>
                <c:pt idx="2">
                  <c:v>-34793.977469491496</c:v>
                </c:pt>
                <c:pt idx="3">
                  <c:v>-37517.834796390125</c:v>
                </c:pt>
                <c:pt idx="4">
                  <c:v>-39882.27043465343</c:v>
                </c:pt>
                <c:pt idx="5">
                  <c:v>-41941.048947059753</c:v>
                </c:pt>
                <c:pt idx="6">
                  <c:v>-43739.165724781895</c:v>
                </c:pt>
                <c:pt idx="7">
                  <c:v>-45314.376526777007</c:v>
                </c:pt>
                <c:pt idx="8">
                  <c:v>-46698.444992071876</c:v>
                </c:pt>
                <c:pt idx="9">
                  <c:v>-47918.162679784858</c:v>
                </c:pt>
                <c:pt idx="10">
                  <c:v>-48996.185180777757</c:v>
                </c:pt>
                <c:pt idx="11">
                  <c:v>-49951.719143207993</c:v>
                </c:pt>
                <c:pt idx="12">
                  <c:v>-50801.088160288127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825848"/>
        <c:axId val="327826632"/>
      </c:lineChart>
      <c:catAx>
        <c:axId val="327825848"/>
        <c:scaling>
          <c:orientation val="minMax"/>
        </c:scaling>
        <c:delete val="0"/>
        <c:axPos val="b"/>
        <c:title>
          <c:tx>
            <c:strRef>
              <c:f>languages!$A$94</c:f>
              <c:strCache>
                <c:ptCount val="1"/>
                <c:pt idx="0">
                  <c:v> % Variación </c:v>
                </c:pt>
              </c:strCache>
            </c:strRef>
          </c:tx>
          <c:overlay val="0"/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6632"/>
        <c:crosses val="autoZero"/>
        <c:auto val="1"/>
        <c:lblAlgn val="ctr"/>
        <c:lblOffset val="100"/>
        <c:noMultiLvlLbl val="0"/>
      </c:catAx>
      <c:valAx>
        <c:axId val="327826632"/>
        <c:scaling>
          <c:orientation val="minMax"/>
        </c:scaling>
        <c:delete val="0"/>
        <c:axPos val="l"/>
        <c:majorGridlines/>
        <c:title>
          <c:tx>
            <c:strRef>
              <c:f>languages!$A$93</c:f>
              <c:strCache>
                <c:ptCount val="1"/>
                <c:pt idx="0">
                  <c:v> Valor Presente Neto en US$ </c:v>
                </c:pt>
              </c:strCache>
            </c:strRef>
          </c:tx>
          <c:overlay val="0"/>
          <c:txPr>
            <a:bodyPr/>
            <a:lstStyle/>
            <a:p>
              <a:pPr>
                <a:defRPr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L"/>
            </a:p>
          </c:txPr>
        </c:title>
        <c:numFmt formatCode="#,##0_ ;[Red]\-#,##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27825848"/>
        <c:crosses val="autoZero"/>
        <c:crossBetween val="between"/>
      </c:valAx>
      <c:spPr>
        <a:solidFill>
          <a:srgbClr val="FFFF99"/>
        </a:solidFill>
      </c:spPr>
    </c:plotArea>
    <c:plotVisOnly val="0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5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</xdr:row>
      <xdr:rowOff>66675</xdr:rowOff>
    </xdr:from>
    <xdr:to>
      <xdr:col>4</xdr:col>
      <xdr:colOff>942975</xdr:colOff>
      <xdr:row>75</xdr:row>
      <xdr:rowOff>123825</xdr:rowOff>
    </xdr:to>
    <xdr:graphicFrame macro="">
      <xdr:nvGraphicFramePr>
        <xdr:cNvPr id="1035119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77</xdr:row>
      <xdr:rowOff>38100</xdr:rowOff>
    </xdr:from>
    <xdr:to>
      <xdr:col>4</xdr:col>
      <xdr:colOff>1028700</xdr:colOff>
      <xdr:row>96</xdr:row>
      <xdr:rowOff>133350</xdr:rowOff>
    </xdr:to>
    <xdr:graphicFrame macro="">
      <xdr:nvGraphicFramePr>
        <xdr:cNvPr id="10351196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29</xdr:row>
      <xdr:rowOff>85725</xdr:rowOff>
    </xdr:from>
    <xdr:to>
      <xdr:col>4</xdr:col>
      <xdr:colOff>981075</xdr:colOff>
      <xdr:row>50</xdr:row>
      <xdr:rowOff>104775</xdr:rowOff>
    </xdr:to>
    <xdr:graphicFrame macro="">
      <xdr:nvGraphicFramePr>
        <xdr:cNvPr id="10351197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32</xdr:row>
      <xdr:rowOff>104775</xdr:rowOff>
    </xdr:from>
    <xdr:to>
      <xdr:col>10</xdr:col>
      <xdr:colOff>1209675</xdr:colOff>
      <xdr:row>54</xdr:row>
      <xdr:rowOff>19050</xdr:rowOff>
    </xdr:to>
    <xdr:graphicFrame macro="">
      <xdr:nvGraphicFramePr>
        <xdr:cNvPr id="11305322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11</xdr:row>
      <xdr:rowOff>114300</xdr:rowOff>
    </xdr:from>
    <xdr:to>
      <xdr:col>10</xdr:col>
      <xdr:colOff>1181100</xdr:colOff>
      <xdr:row>31</xdr:row>
      <xdr:rowOff>171450</xdr:rowOff>
    </xdr:to>
    <xdr:graphicFrame macro="">
      <xdr:nvGraphicFramePr>
        <xdr:cNvPr id="11305323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828675</xdr:colOff>
      <xdr:row>55</xdr:row>
      <xdr:rowOff>19050</xdr:rowOff>
    </xdr:from>
    <xdr:to>
      <xdr:col>10</xdr:col>
      <xdr:colOff>1181100</xdr:colOff>
      <xdr:row>81</xdr:row>
      <xdr:rowOff>28575</xdr:rowOff>
    </xdr:to>
    <xdr:graphicFrame macro="">
      <xdr:nvGraphicFramePr>
        <xdr:cNvPr id="11305324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323850</xdr:colOff>
          <xdr:row>12</xdr:row>
          <xdr:rowOff>152400</xdr:rowOff>
        </xdr:from>
        <xdr:to>
          <xdr:col>5</xdr:col>
          <xdr:colOff>1028700</xdr:colOff>
          <xdr:row>15</xdr:row>
          <xdr:rowOff>142875</xdr:rowOff>
        </xdr:to>
        <xdr:sp macro="" textlink="">
          <xdr:nvSpPr>
            <xdr:cNvPr id="663554" name="Button 2" hidden="1">
              <a:extLst>
                <a:ext uri="{63B3BB69-23CF-44E3-9099-C40C66FF867C}">
                  <a14:compatExt spid="_x0000_s66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L" sz="1400" b="1" i="0" u="none" strike="noStrike" baseline="0">
                  <a:solidFill>
                    <a:srgbClr val="000000"/>
                  </a:solidFill>
                  <a:latin typeface="Lucida Grande"/>
                </a:rPr>
                <a:t>Reset tabla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571500</xdr:colOff>
          <xdr:row>1</xdr:row>
          <xdr:rowOff>38100</xdr:rowOff>
        </xdr:from>
        <xdr:to>
          <xdr:col>8</xdr:col>
          <xdr:colOff>657225</xdr:colOff>
          <xdr:row>3</xdr:row>
          <xdr:rowOff>9525</xdr:rowOff>
        </xdr:to>
        <xdr:sp macro="" textlink="">
          <xdr:nvSpPr>
            <xdr:cNvPr id="2843649" name="Button 1" hidden="1">
              <a:extLst>
                <a:ext uri="{63B3BB69-23CF-44E3-9099-C40C66FF867C}">
                  <a14:compatExt spid="_x0000_s284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L" sz="1200" b="1" i="0" u="none" strike="noStrike" baseline="0">
                  <a:solidFill>
                    <a:srgbClr val="000000"/>
                  </a:solidFill>
                  <a:latin typeface="Lucida Grande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3</xdr:row>
      <xdr:rowOff>76200</xdr:rowOff>
    </xdr:from>
    <xdr:to>
      <xdr:col>8</xdr:col>
      <xdr:colOff>590550</xdr:colOff>
      <xdr:row>15</xdr:row>
      <xdr:rowOff>133350</xdr:rowOff>
    </xdr:to>
    <xdr:graphicFrame macro="">
      <xdr:nvGraphicFramePr>
        <xdr:cNvPr id="119618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650298</xdr:colOff>
      <xdr:row>0</xdr:row>
      <xdr:rowOff>190500</xdr:rowOff>
    </xdr:from>
    <xdr:to>
      <xdr:col>8</xdr:col>
      <xdr:colOff>562842</xdr:colOff>
      <xdr:row>2</xdr:row>
      <xdr:rowOff>57150</xdr:rowOff>
    </xdr:to>
    <xdr:sp macro="" textlink="languages!A78">
      <xdr:nvSpPr>
        <xdr:cNvPr id="5" name="TextBox 3"/>
        <xdr:cNvSpPr txBox="1">
          <a:spLocks noChangeArrowheads="1"/>
        </xdr:cNvSpPr>
      </xdr:nvSpPr>
      <xdr:spPr bwMode="auto">
        <a:xfrm>
          <a:off x="1420957" y="5818909"/>
          <a:ext cx="6138430" cy="264968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fld id="{84061C0C-872D-4743-BBE0-71B96FE21B18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Sensibilidad Periodo de Amortización</a:t>
          </a:fld>
          <a:endParaRPr lang="de-DE" sz="1400" b="1"/>
        </a:p>
      </xdr:txBody>
    </xdr:sp>
    <xdr:clientData/>
  </xdr:twoCellAnchor>
  <xdr:twoCellAnchor>
    <xdr:from>
      <xdr:col>1</xdr:col>
      <xdr:colOff>647700</xdr:colOff>
      <xdr:row>30</xdr:row>
      <xdr:rowOff>142875</xdr:rowOff>
    </xdr:from>
    <xdr:to>
      <xdr:col>8</xdr:col>
      <xdr:colOff>457200</xdr:colOff>
      <xdr:row>83</xdr:row>
      <xdr:rowOff>19050</xdr:rowOff>
    </xdr:to>
    <xdr:grpSp>
      <xdr:nvGrpSpPr>
        <xdr:cNvPr id="11961874" name="Group 5"/>
        <xdr:cNvGrpSpPr>
          <a:grpSpLocks/>
        </xdr:cNvGrpSpPr>
      </xdr:nvGrpSpPr>
      <xdr:grpSpPr bwMode="auto">
        <a:xfrm>
          <a:off x="1419225" y="6143625"/>
          <a:ext cx="6019800" cy="10477500"/>
          <a:chOff x="2624559" y="12654093"/>
          <a:chExt cx="9222893" cy="6232676"/>
        </a:xfrm>
      </xdr:grpSpPr>
      <xdr:grpSp>
        <xdr:nvGrpSpPr>
          <xdr:cNvPr id="11961876" name="Group 2"/>
          <xdr:cNvGrpSpPr>
            <a:grpSpLocks/>
          </xdr:cNvGrpSpPr>
        </xdr:nvGrpSpPr>
        <xdr:grpSpPr bwMode="auto">
          <a:xfrm>
            <a:off x="2624559" y="13068061"/>
            <a:ext cx="9222893" cy="5818708"/>
            <a:chOff x="2539893" y="12153661"/>
            <a:chExt cx="9222893" cy="5818708"/>
          </a:xfrm>
        </xdr:grpSpPr>
        <xdr:graphicFrame macro="">
          <xdr:nvGraphicFramePr>
            <xdr:cNvPr id="11961878" name="Chart 7"/>
            <xdr:cNvGraphicFramePr>
              <a:graphicFrameLocks/>
            </xdr:cNvGraphicFramePr>
          </xdr:nvGraphicFramePr>
          <xdr:xfrm>
            <a:off x="2539893" y="14153893"/>
            <a:ext cx="9209659" cy="19880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1961879" name="Chart 7"/>
            <xdr:cNvGraphicFramePr>
              <a:graphicFrameLocks/>
            </xdr:cNvGraphicFramePr>
          </xdr:nvGraphicFramePr>
          <xdr:xfrm>
            <a:off x="2539895" y="16169797"/>
            <a:ext cx="9222891" cy="180257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11961880" name="Chart 7"/>
            <xdr:cNvGraphicFramePr>
              <a:graphicFrameLocks/>
            </xdr:cNvGraphicFramePr>
          </xdr:nvGraphicFramePr>
          <xdr:xfrm>
            <a:off x="2560456" y="12153661"/>
            <a:ext cx="9156730" cy="192108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sp macro="" textlink="languages!A85">
        <xdr:nvSpPr>
          <xdr:cNvPr id="8" name="TextBox 11"/>
          <xdr:cNvSpPr txBox="1"/>
        </xdr:nvSpPr>
        <xdr:spPr>
          <a:xfrm>
            <a:off x="2653745" y="12654093"/>
            <a:ext cx="9149927" cy="294636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9525">
            <a:solidFill>
              <a:srgbClr val="BCBCBC"/>
            </a:solidFill>
            <a:miter lim="800000"/>
            <a:headEnd/>
            <a:tailEnd/>
          </a:ln>
        </xdr:spPr>
        <xdr:txBody>
          <a:bodyPr vertOverflow="clip" wrap="square" lIns="36576" tIns="36576" rIns="36576" bIns="36576" anchor="ctr" upright="1"/>
          <a:lstStyle/>
          <a:p>
            <a:pPr marL="0" indent="0" algn="ctr" rtl="0">
              <a:defRPr sz="1000"/>
            </a:pPr>
            <a:fld id="{89EBF9E3-FA20-451C-893E-DF5333D7585D}" type="TxLink">
              <a:rPr lang="en-US" sz="18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Sensibilidad Valor Presente Neto</a:t>
            </a:fld>
            <a:endParaRPr lang="en-US" sz="1800" b="0" i="0" u="none" strike="noStrike" baseline="0">
              <a:solidFill>
                <a:srgbClr val="000000"/>
              </a:solidFill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676275</xdr:colOff>
      <xdr:row>16</xdr:row>
      <xdr:rowOff>0</xdr:rowOff>
    </xdr:from>
    <xdr:to>
      <xdr:col>8</xdr:col>
      <xdr:colOff>590550</xdr:colOff>
      <xdr:row>29</xdr:row>
      <xdr:rowOff>95250</xdr:rowOff>
    </xdr:to>
    <xdr:graphicFrame macro="">
      <xdr:nvGraphicFramePr>
        <xdr:cNvPr id="119618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66675</xdr:rowOff>
    </xdr:from>
    <xdr:to>
      <xdr:col>1</xdr:col>
      <xdr:colOff>914400</xdr:colOff>
      <xdr:row>0</xdr:row>
      <xdr:rowOff>257175</xdr:rowOff>
    </xdr:to>
    <xdr:pic>
      <xdr:nvPicPr>
        <xdr:cNvPr id="12417062" name="Picture 4" descr="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66675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0</xdr:row>
      <xdr:rowOff>38100</xdr:rowOff>
    </xdr:from>
    <xdr:to>
      <xdr:col>2</xdr:col>
      <xdr:colOff>1647825</xdr:colOff>
      <xdr:row>0</xdr:row>
      <xdr:rowOff>228600</xdr:rowOff>
    </xdr:to>
    <xdr:pic>
      <xdr:nvPicPr>
        <xdr:cNvPr id="12417063" name="Picture 5" descr="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8100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@\Server01\entecLiveData\MHP_Projects\Sumatra\PLTA%20Salido%20Kecil\02_fs_rev\Dewata\contract\Kontrak\boq%20kontra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@\OLIVER\D%20OLIVER\MHP_Projects\Dewata\contract\Kontrak\boq%20kontra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@\Server01\entecLiveData\MHP_Projects\Sumatra\PLTA%20Salido%20Kecil\02_fs_rev\Tea%20Estates\Estates\+Gambung\pre-fs\010914%20gambung%20data%20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time"/>
      <sheetName val="Sheet1"/>
      <sheetName val="HrgMat"/>
      <sheetName val="AHSP spl"/>
      <sheetName val="HrgSat"/>
      <sheetName val="boq lkp"/>
      <sheetName val="boq HDP sipil"/>
      <sheetName val="boq HPT d&amp;s"/>
      <sheetName val="boq HPT sipil"/>
      <sheetName val="boq HPT e-m"/>
      <sheetName val="Gen"/>
      <sheetName val="boq HPT"/>
      <sheetName val="boq HPT RP"/>
      <sheetName val="boq HPT $"/>
    </sheetNames>
    <sheetDataSet>
      <sheetData sheetId="0"/>
      <sheetData sheetId="1">
        <row r="7">
          <cell r="E7" t="str">
            <v>Entec Indonesia</v>
          </cell>
        </row>
        <row r="8">
          <cell r="E8" t="str">
            <v/>
          </cell>
        </row>
        <row r="10">
          <cell r="E10" t="str">
            <v>Entec Indonesia</v>
          </cell>
        </row>
        <row r="11">
          <cell r="E11" t="str">
            <v>MHPP Indonesia, Phase 3</v>
          </cell>
        </row>
        <row r="13">
          <cell r="E13" t="str">
            <v>Holidays</v>
          </cell>
        </row>
        <row r="14">
          <cell r="E14" t="str">
            <v>MHPP Indonesia, Phase 3</v>
          </cell>
        </row>
        <row r="15">
          <cell r="E15" t="str">
            <v>MHP Salido Kecil</v>
          </cell>
        </row>
        <row r="16">
          <cell r="E16" t="str">
            <v>MHPP Indonesia, Phase 3</v>
          </cell>
        </row>
        <row r="19">
          <cell r="E19" t="str">
            <v>MHPP Indonesia, Phase 3</v>
          </cell>
        </row>
        <row r="20">
          <cell r="E20" t="str">
            <v>MHPP Indonesia, Phase 3</v>
          </cell>
        </row>
        <row r="21">
          <cell r="E21" t="str">
            <v>Entec Indonesia</v>
          </cell>
        </row>
        <row r="22">
          <cell r="E22" t="str">
            <v>MHPP Indonesia, Phase 3</v>
          </cell>
        </row>
        <row r="23">
          <cell r="E23" t="str">
            <v>Training Laos, AGMHP</v>
          </cell>
        </row>
        <row r="25">
          <cell r="E25" t="str">
            <v>MHPP Indonesia, Phase 3</v>
          </cell>
        </row>
        <row r="26">
          <cell r="E26" t="str">
            <v>MHPP Indonesia, Phase 3</v>
          </cell>
        </row>
        <row r="27">
          <cell r="E27" t="str">
            <v>Nam Ka 2</v>
          </cell>
        </row>
        <row r="30">
          <cell r="E30" t="str">
            <v>MHPP Indonesia, Phase 3</v>
          </cell>
        </row>
        <row r="31">
          <cell r="E31" t="str">
            <v xml:space="preserve">Acquisition </v>
          </cell>
        </row>
        <row r="32">
          <cell r="E32" t="str">
            <v>Training Laos, AGMHP</v>
          </cell>
        </row>
        <row r="33">
          <cell r="E33" t="str">
            <v>Cooperation Sunlabob, Laos</v>
          </cell>
        </row>
        <row r="34">
          <cell r="E34" t="str">
            <v>Training Laos, AGMHP</v>
          </cell>
        </row>
        <row r="36">
          <cell r="E36" t="str">
            <v>Training Laos, AGMHP</v>
          </cell>
        </row>
        <row r="37">
          <cell r="E37" t="str">
            <v>Training Laos, AGMHP</v>
          </cell>
        </row>
        <row r="38">
          <cell r="E38" t="str">
            <v>Training Laos, AGMHP</v>
          </cell>
        </row>
        <row r="40">
          <cell r="E40" t="str">
            <v>Training Laos, AGMHP</v>
          </cell>
        </row>
        <row r="41">
          <cell r="E41" t="str">
            <v>Training Laos, AGMHP</v>
          </cell>
        </row>
        <row r="42">
          <cell r="E42" t="str">
            <v>Training Laos, AGMHP</v>
          </cell>
        </row>
        <row r="43">
          <cell r="E43" t="str">
            <v>Training Laos, AGMHP</v>
          </cell>
        </row>
        <row r="46">
          <cell r="E46" t="str">
            <v>Cooperation Sunlabob, Laos</v>
          </cell>
        </row>
        <row r="49">
          <cell r="E49" t="str">
            <v>Cooperation Sunlabob, Laos</v>
          </cell>
        </row>
        <row r="50">
          <cell r="E50" t="str">
            <v>Cooperation Sunlabob, Laos</v>
          </cell>
        </row>
        <row r="51">
          <cell r="E51" t="str">
            <v>Training Laos, AGMHP</v>
          </cell>
        </row>
        <row r="52">
          <cell r="E52" t="str">
            <v>Training Laos, AGMHP</v>
          </cell>
        </row>
        <row r="53">
          <cell r="E53" t="str">
            <v>General Administration</v>
          </cell>
        </row>
        <row r="54">
          <cell r="E54" t="str">
            <v>MHP Salido Kecil</v>
          </cell>
        </row>
        <row r="61">
          <cell r="E61" t="str">
            <v>MHP Salido Kecil</v>
          </cell>
        </row>
        <row r="62">
          <cell r="E62" t="str">
            <v>Entec Indonesia</v>
          </cell>
        </row>
        <row r="63">
          <cell r="E63" t="str">
            <v>General Administration</v>
          </cell>
        </row>
        <row r="64">
          <cell r="E64" t="str">
            <v>Entec ID Consulting</v>
          </cell>
        </row>
        <row r="67">
          <cell r="E67" t="str">
            <v>MHP Salido Kecil</v>
          </cell>
        </row>
        <row r="69">
          <cell r="E69" t="str">
            <v>Entec Indonesia</v>
          </cell>
        </row>
        <row r="70">
          <cell r="E70" t="str">
            <v>Entec Indonesia</v>
          </cell>
        </row>
        <row r="71">
          <cell r="E71" t="str">
            <v>Entec Indonesia</v>
          </cell>
        </row>
        <row r="72">
          <cell r="E72" t="str">
            <v>Entec Indonesia</v>
          </cell>
        </row>
        <row r="73">
          <cell r="E73" t="str">
            <v>Entec Indonesia</v>
          </cell>
        </row>
        <row r="76">
          <cell r="E76" t="str">
            <v>MHPP Indonesia, Phase 3</v>
          </cell>
        </row>
        <row r="78">
          <cell r="E78" t="str">
            <v>Entec ID Consulting</v>
          </cell>
        </row>
        <row r="79">
          <cell r="E79" t="str">
            <v>General Administration</v>
          </cell>
        </row>
        <row r="80">
          <cell r="E80" t="str">
            <v>GTZ Uganda EAP</v>
          </cell>
        </row>
        <row r="81">
          <cell r="E81" t="str">
            <v>GTZ Uganda EAP</v>
          </cell>
        </row>
        <row r="85">
          <cell r="E85" t="str">
            <v>Cooperation Sunlabob, Laos</v>
          </cell>
        </row>
        <row r="86">
          <cell r="E86" t="str">
            <v>GTZ Uganda EAP</v>
          </cell>
        </row>
        <row r="87">
          <cell r="E87" t="str">
            <v>GTZ Uganda EAP</v>
          </cell>
        </row>
        <row r="88">
          <cell r="E88" t="str">
            <v>Entec ID Consulting</v>
          </cell>
        </row>
        <row r="105">
          <cell r="E105" t="str">
            <v>GTZ Uganda EAP</v>
          </cell>
        </row>
        <row r="106">
          <cell r="E106" t="str">
            <v/>
          </cell>
        </row>
        <row r="108">
          <cell r="E108" t="str">
            <v>GTZ Uganda EAP</v>
          </cell>
        </row>
        <row r="109">
          <cell r="E109" t="str">
            <v>GTZ Uganda EAP</v>
          </cell>
        </row>
        <row r="110">
          <cell r="E110" t="str">
            <v>GTZ Uganda EAP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Mat"/>
      <sheetName val="AHSP spl"/>
      <sheetName val="HrgSat"/>
      <sheetName val="boq lkp"/>
      <sheetName val="boq HDP sipil"/>
      <sheetName val="boq HPT d&amp;s"/>
      <sheetName val="boq HPT sipil"/>
      <sheetName val="boq HPT e-m"/>
      <sheetName val="Gen"/>
      <sheetName val="boq HPT"/>
      <sheetName val="boq HPT RP"/>
      <sheetName val="boq HPT $"/>
      <sheetName val="AJV"/>
      <sheetName val="Sheet3"/>
      <sheetName val="PH calc"/>
    </sheetNames>
    <sheetDataSet>
      <sheetData sheetId="0" refreshError="1">
        <row r="26">
          <cell r="E26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n data"/>
      <sheetName val="Summary Rain Data"/>
      <sheetName val="FDC"/>
      <sheetName val="Cipoletti"/>
      <sheetName val="Energy Statistic"/>
      <sheetName val="Load 1"/>
      <sheetName val="Load 2"/>
      <sheetName val="Load 2a"/>
      <sheetName val="Load 3"/>
      <sheetName val="UP"/>
      <sheetName val="BoQ 1"/>
      <sheetName val="BoQ 2"/>
      <sheetName val="BoQ 3"/>
      <sheetName val="netH"/>
      <sheetName val="Turbine 1"/>
      <sheetName val="Turbine 2x2"/>
      <sheetName val="Turbine 2x22"/>
      <sheetName val="Turbine 3"/>
      <sheetName val="Capacity"/>
      <sheetName val="netH 570"/>
      <sheetName val="OVERVIEW"/>
      <sheetName val="E UP PLN&amp;diesel"/>
      <sheetName val="E UP 1"/>
      <sheetName val="E UP 2"/>
      <sheetName val="E UP 3"/>
      <sheetName val="CF 1"/>
      <sheetName val="CF 2"/>
      <sheetName val="CF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4">
          <cell r="C4">
            <v>40.992046598895058</v>
          </cell>
        </row>
        <row r="13">
          <cell r="C13">
            <v>0.77500000000000002</v>
          </cell>
        </row>
      </sheetData>
      <sheetData sheetId="15" refreshError="1">
        <row r="5">
          <cell r="C5">
            <v>270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D28"/>
  <sheetViews>
    <sheetView showGridLines="0" showWhiteSpace="0" view="pageLayout" topLeftCell="A79" zoomScaleNormal="100" workbookViewId="0">
      <selection activeCell="B1" sqref="B1"/>
    </sheetView>
  </sheetViews>
  <sheetFormatPr baseColWidth="10" defaultRowHeight="15.75"/>
  <cols>
    <col min="1" max="1" width="9" customWidth="1"/>
    <col min="2" max="2" width="34.375" customWidth="1"/>
    <col min="3" max="3" width="18.375" customWidth="1"/>
    <col min="4" max="4" width="18.625" customWidth="1"/>
    <col min="5" max="6" width="18.5" customWidth="1"/>
  </cols>
  <sheetData>
    <row r="1" spans="1:4">
      <c r="A1" s="204" t="str">
        <f>languages!A556</f>
        <v>Proyecto:</v>
      </c>
      <c r="B1" s="508"/>
    </row>
    <row r="2" spans="1:4" ht="10.5" customHeight="1">
      <c r="B2" s="204"/>
      <c r="C2" s="204"/>
    </row>
    <row r="3" spans="1:4" ht="18.75">
      <c r="B3" s="832" t="str">
        <f>languages!A560</f>
        <v>Datos Base</v>
      </c>
      <c r="C3" s="833"/>
      <c r="D3" s="204"/>
    </row>
    <row r="4" spans="1:4">
      <c r="B4" s="830"/>
      <c r="C4" s="831"/>
    </row>
    <row r="5" spans="1:4">
      <c r="B5" s="258" t="str">
        <f>languages!A540</f>
        <v>Capacidad Instalada [kW]</v>
      </c>
      <c r="C5" s="292">
        <f>IF('Main Input-Output'!B12="PV",PV!C4,IF('Main Input-Output'!B12="Wind",Wind!C5,IF('Main Input-Output'!B12="Cogeneration",Cogen!C5,"0")))</f>
        <v>35</v>
      </c>
    </row>
    <row r="6" spans="1:4">
      <c r="B6" s="258" t="str">
        <f>languages!A541</f>
        <v>Costos de Inversión [USD]</v>
      </c>
      <c r="C6" s="456">
        <f>'Main Input-Output'!B5</f>
        <v>-61000</v>
      </c>
    </row>
    <row r="7" spans="1:4">
      <c r="B7" s="258" t="str">
        <f>languages!A542</f>
        <v>Factor de Capacidad [%]</v>
      </c>
      <c r="C7" s="293">
        <f>IF('Main Input-Output'!B12="PV",PV!C7,IF('Main Input-Output'!B12="Wind",Wind!C8,IF('Main Input-Output'!B12="Cogeneration",(Cogen!C8/8760),"0")))</f>
        <v>0.2</v>
      </c>
    </row>
    <row r="8" spans="1:4">
      <c r="B8" s="258" t="str">
        <f>languages!A543</f>
        <v>Ingreso Anual [kWh/a]</v>
      </c>
      <c r="C8" s="456">
        <f>IF('Main Input-Output'!B12="PV",PV!C27,IF('Main Input-Output'!B12="Wind",Wind!C28,IF('Main Input-Output'!B12="Cogeneration",Cogen!C11+Cogen!C12,"0")))</f>
        <v>61320</v>
      </c>
    </row>
    <row r="9" spans="1:4">
      <c r="B9" s="258" t="str">
        <f>languages!A544</f>
        <v>Duración del Proyecto [a]</v>
      </c>
      <c r="C9" s="292">
        <f>IF('Main Input-Output'!B12="PV",PV!C10,IF('Main Input-Output'!B12="Wind",Wind!C11,IF('Main Input-Output'!B12="Cogeneration",Cogen!C10,Efficiency!B42)))</f>
        <v>25</v>
      </c>
    </row>
    <row r="10" spans="1:4">
      <c r="B10" s="258" t="str">
        <f>languages!A545</f>
        <v>Disminución Costos Compra de Energía [USD/kWh]</v>
      </c>
      <c r="C10" s="457">
        <f>IF('Main Input-Output'!B12="PV",PV!C12,IF('Main Input-Output'!B12="Wind",Wind!C13,IF('Main Input-Output'!B12="Cogeneration",Cogen!C21,Efficiency!G7)))</f>
        <v>0.08</v>
      </c>
    </row>
    <row r="11" spans="1:4">
      <c r="B11" s="258" t="str">
        <f>languages!A546</f>
        <v>Precio Inyección a Red [USD/kWh]</v>
      </c>
      <c r="C11" s="292">
        <f>IF('Main Input-Output'!B12="PV",PV!C11,IF('Main Input-Output'!B12="Wind",Wind!C12,IF('Main Input-Output'!B12="Cogeneration",Cogen!C23,"0")))</f>
        <v>0.08</v>
      </c>
    </row>
    <row r="12" spans="1:4">
      <c r="B12" s="258" t="str">
        <f>languages!A547</f>
        <v>% Uso Propio</v>
      </c>
      <c r="C12" s="293">
        <f>IF('Main Input-Output'!B12="PV",PV!C13,IF('Main Input-Output'!B12="Wind",Wind!C14,IF('Main Input-Output'!B12="Cogeneration",Cogen!C27,"0")))</f>
        <v>1</v>
      </c>
    </row>
    <row r="13" spans="1:4">
      <c r="B13" s="258" t="str">
        <f>languages!A548</f>
        <v>Degradación Anual de Producción [%/a]</v>
      </c>
      <c r="C13" s="458">
        <f>IF('Main Input-Output'!B12="PV",PV!C9,IF('Main Input-Output'!B12="Wind",Wind!C10,IF('Main Input-Output'!B12="Cogeneration",Cogen!C9,"0")))</f>
        <v>2E-3</v>
      </c>
    </row>
    <row r="14" spans="1:4">
      <c r="B14" s="258" t="str">
        <f>languages!A549</f>
        <v>Tasa de Descuento [%]</v>
      </c>
      <c r="C14" s="293">
        <f>'Main Input-Output'!B39</f>
        <v>0.1</v>
      </c>
    </row>
    <row r="15" spans="1:4">
      <c r="B15" s="258" t="str">
        <f>languages!A550</f>
        <v>Impuesto a la Utilidad [%]</v>
      </c>
      <c r="C15" s="293">
        <f>'Main Input-Output'!B45</f>
        <v>0.21</v>
      </c>
    </row>
    <row r="16" spans="1:4">
      <c r="B16" s="258" t="str">
        <f>languages!A551</f>
        <v>Costos Operacionales [USD/a]</v>
      </c>
      <c r="C16" s="292">
        <f>'Main Input-Output'!B17+'Main Input-Output'!B18+'Main Input-Output'!B19+'Main Input-Output'!B20+'Main Input-Output'!B21</f>
        <v>-1220</v>
      </c>
    </row>
    <row r="17" spans="2:4">
      <c r="B17" s="258" t="str">
        <f>languages!A552</f>
        <v>% Financiamiento con Crédito</v>
      </c>
      <c r="C17" s="293">
        <f>'Main Input-Output'!B25</f>
        <v>0.8</v>
      </c>
    </row>
    <row r="18" spans="2:4">
      <c r="B18" s="258" t="str">
        <f>languages!A553</f>
        <v>Plazo Crédito [a]</v>
      </c>
      <c r="C18" s="459">
        <f>'Main Input-Output'!B28</f>
        <v>20</v>
      </c>
    </row>
    <row r="19" spans="2:4">
      <c r="B19" s="258" t="str">
        <f>languages!A554</f>
        <v>Tasa Interés Crédito [%]</v>
      </c>
      <c r="C19" s="293">
        <f>'Main Input-Output'!B32</f>
        <v>0.06</v>
      </c>
    </row>
    <row r="20" spans="2:4">
      <c r="B20" s="365"/>
      <c r="C20" s="447"/>
    </row>
    <row r="21" spans="2:4" ht="25.5" customHeight="1"/>
    <row r="22" spans="2:4">
      <c r="B22" s="204" t="str">
        <f>languages!A557</f>
        <v>Resultados</v>
      </c>
      <c r="C22" s="204"/>
    </row>
    <row r="23" spans="2:4" ht="9.75" customHeight="1"/>
    <row r="24" spans="2:4" ht="20.25" customHeight="1">
      <c r="B24" s="258"/>
      <c r="C24" s="259" t="str">
        <f>languages!A558</f>
        <v>Valor Inicial</v>
      </c>
      <c r="D24" s="259" t="str">
        <f>languages!A559</f>
        <v>Escenario Sensibilidad</v>
      </c>
    </row>
    <row r="25" spans="2:4">
      <c r="B25" s="260" t="str">
        <f>'Main Input-Output'!F4</f>
        <v>Periodo Amortización Simple</v>
      </c>
      <c r="C25" s="261" t="str">
        <f>'Main Input-Output'!J4</f>
        <v>21 Años &amp; 2 Mes(es)</v>
      </c>
      <c r="D25" s="261" t="str">
        <f>'Main Input-Output'!K4</f>
        <v>21 Años &amp; 2 Mes(es)</v>
      </c>
    </row>
    <row r="26" spans="2:4" ht="30" customHeight="1">
      <c r="B26" s="262" t="str">
        <f>'Main Input-Output'!F5</f>
        <v>Periodo Amortización con Valores Descontados</v>
      </c>
      <c r="C26" s="263" t="str">
        <f>'Main Input-Output'!J5</f>
        <v>NO Rentable Económicamente Años &amp; 0 Mes(es)</v>
      </c>
      <c r="D26" s="263" t="str">
        <f>'Main Input-Output'!K5</f>
        <v>NO Rentable Económicamente Años &amp; 0 Mes(es)</v>
      </c>
    </row>
    <row r="27" spans="2:4">
      <c r="B27" s="260" t="str">
        <f>'Main Input-Output'!F6</f>
        <v>TIR -Tasa Interna de Retorno</v>
      </c>
      <c r="C27" s="266">
        <f>'Main Input-Output'!J6</f>
        <v>5.0826777789444222E-2</v>
      </c>
      <c r="D27" s="266">
        <f>'Main Input-Output'!K6</f>
        <v>5.0826777789444222E-2</v>
      </c>
    </row>
    <row r="28" spans="2:4">
      <c r="B28" s="262" t="str">
        <f>'Main Input-Output'!F7</f>
        <v>VPN -Valor Presente Neto</v>
      </c>
      <c r="C28" s="264">
        <f>'Main Input-Output'!J7</f>
        <v>-20821.74384951064</v>
      </c>
      <c r="D28" s="264">
        <f>'Main Input-Output'!K7</f>
        <v>-20821.74384951064</v>
      </c>
    </row>
  </sheetData>
  <sheetProtection sheet="1"/>
  <mergeCells count="2">
    <mergeCell ref="B4:C4"/>
    <mergeCell ref="B3:C3"/>
  </mergeCells>
  <pageMargins left="0.7" right="0.7" top="0.78740157499999996" bottom="0.78740157499999996" header="0.3" footer="0.3"/>
  <pageSetup paperSize="9" scale="8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9" tint="0.39997558519241921"/>
  </sheetPr>
  <dimension ref="B1:J29"/>
  <sheetViews>
    <sheetView showGridLines="0" workbookViewId="0">
      <selection activeCell="F7" sqref="F7"/>
    </sheetView>
  </sheetViews>
  <sheetFormatPr baseColWidth="10" defaultColWidth="0" defaultRowHeight="12.75" zeroHeight="1"/>
  <cols>
    <col min="1" max="4" width="11" style="3" customWidth="1"/>
    <col min="5" max="5" width="13.125" style="3" customWidth="1"/>
    <col min="6" max="6" width="15" style="3" customWidth="1"/>
    <col min="7" max="10" width="11" style="3" customWidth="1"/>
    <col min="11" max="16384" width="0" style="3" hidden="1"/>
  </cols>
  <sheetData>
    <row r="1" spans="2:10" ht="13.5" thickBot="1"/>
    <row r="2" spans="2:10" ht="36.75" customHeight="1">
      <c r="B2" s="708" t="str">
        <f>languages!A237</f>
        <v>Análisis de Sensibilidad: Poner "1" en escenario deseado</v>
      </c>
      <c r="C2" s="294"/>
      <c r="D2" s="294"/>
      <c r="E2" s="295"/>
      <c r="F2" s="295"/>
      <c r="G2" s="296"/>
      <c r="H2" s="296"/>
      <c r="I2" s="297"/>
    </row>
    <row r="3" spans="2:10">
      <c r="B3" s="298"/>
      <c r="C3" s="119"/>
      <c r="D3" s="119"/>
      <c r="E3" s="119"/>
      <c r="F3" s="119"/>
      <c r="G3" s="119"/>
      <c r="H3" s="119"/>
      <c r="I3" s="299"/>
    </row>
    <row r="4" spans="2:10">
      <c r="B4" s="298"/>
      <c r="C4" s="119"/>
      <c r="D4" s="119"/>
      <c r="E4" s="119"/>
      <c r="F4" s="119"/>
      <c r="G4" s="119"/>
      <c r="H4" s="119"/>
      <c r="I4" s="299"/>
    </row>
    <row r="5" spans="2:10">
      <c r="B5" s="938" t="str">
        <f>languages!A136</f>
        <v>Tasa de Descuento (%)</v>
      </c>
      <c r="C5" s="939"/>
      <c r="D5" s="939"/>
      <c r="E5" s="939"/>
      <c r="F5" s="939"/>
      <c r="G5" s="939"/>
      <c r="H5" s="939"/>
      <c r="I5" s="940"/>
    </row>
    <row r="6" spans="2:10">
      <c r="B6" s="443">
        <v>-0.15</v>
      </c>
      <c r="C6" s="445">
        <v>-0.1</v>
      </c>
      <c r="D6" s="445">
        <v>-0.05</v>
      </c>
      <c r="E6" s="121" t="str">
        <f>languages!$A$235</f>
        <v>Valor Actual</v>
      </c>
      <c r="F6" s="122" t="str">
        <f>languages!$A$236</f>
        <v>Valor Nuevo</v>
      </c>
      <c r="G6" s="445" t="str">
        <f>"+5%"</f>
        <v>+5%</v>
      </c>
      <c r="H6" s="120" t="str">
        <f>"+10%"</f>
        <v>+10%</v>
      </c>
      <c r="I6" s="301" t="str">
        <f>"+15%"</f>
        <v>+15%</v>
      </c>
    </row>
    <row r="7" spans="2:10">
      <c r="B7" s="526"/>
      <c r="C7" s="527"/>
      <c r="D7" s="527"/>
      <c r="E7" s="384">
        <f>'Calc A'!B6</f>
        <v>0.1</v>
      </c>
      <c r="F7" s="124">
        <f>'Calc Sensitivity'!B6</f>
        <v>0.1</v>
      </c>
      <c r="G7" s="537"/>
      <c r="H7" s="537"/>
      <c r="I7" s="538"/>
      <c r="J7" s="3" t="str">
        <f>IF((SUM(B7:D7)+G7+H7+I7)&gt;1,"Error"," ")</f>
        <v xml:space="preserve"> </v>
      </c>
    </row>
    <row r="8" spans="2:10" hidden="1">
      <c r="B8" s="938" t="str">
        <f>languages!A138</f>
        <v>Incremento Precio Energía (%)</v>
      </c>
      <c r="C8" s="939"/>
      <c r="D8" s="939"/>
      <c r="E8" s="939"/>
      <c r="F8" s="939"/>
      <c r="G8" s="939"/>
      <c r="H8" s="939"/>
      <c r="I8" s="940"/>
    </row>
    <row r="9" spans="2:10" hidden="1">
      <c r="B9" s="300"/>
      <c r="C9" s="120"/>
      <c r="D9" s="120"/>
      <c r="E9" s="121" t="str">
        <f>languages!$A$235</f>
        <v>Valor Actual</v>
      </c>
      <c r="F9" s="122" t="str">
        <f>languages!$A$236</f>
        <v>Valor Nuevo</v>
      </c>
      <c r="G9" s="125"/>
      <c r="H9" s="125"/>
      <c r="I9" s="302"/>
    </row>
    <row r="10" spans="2:10" hidden="1">
      <c r="B10" s="303"/>
      <c r="C10" s="109"/>
      <c r="D10" s="109"/>
      <c r="E10" s="123">
        <f>'Calc A'!B8</f>
        <v>0.03</v>
      </c>
      <c r="F10" s="124">
        <f>'Calc Sensitivity'!B8</f>
        <v>0.03</v>
      </c>
      <c r="G10" s="109"/>
      <c r="H10" s="109"/>
      <c r="I10" s="304"/>
      <c r="J10" s="3" t="str">
        <f>IF((SUM(B10:D10)+G10+H10+I10)&gt;1,"falsche Eingabe) "," ")</f>
        <v xml:space="preserve"> </v>
      </c>
    </row>
    <row r="11" spans="2:10">
      <c r="B11" s="938" t="str">
        <f>languages!A152</f>
        <v>Ingresos por Venta/Ahorro Electricidad</v>
      </c>
      <c r="C11" s="939"/>
      <c r="D11" s="939"/>
      <c r="E11" s="939"/>
      <c r="F11" s="939"/>
      <c r="G11" s="939"/>
      <c r="H11" s="939"/>
      <c r="I11" s="940"/>
    </row>
    <row r="12" spans="2:10">
      <c r="B12" s="443">
        <v>-0.15</v>
      </c>
      <c r="C12" s="445">
        <v>-0.1</v>
      </c>
      <c r="D12" s="445">
        <v>-0.05</v>
      </c>
      <c r="E12" s="121" t="str">
        <f>languages!$A$235</f>
        <v>Valor Actual</v>
      </c>
      <c r="F12" s="122" t="str">
        <f>languages!$A$236</f>
        <v>Valor Nuevo</v>
      </c>
      <c r="G12" s="445" t="str">
        <f>"+5%"</f>
        <v>+5%</v>
      </c>
      <c r="H12" s="120" t="str">
        <f>"+10%"</f>
        <v>+10%</v>
      </c>
      <c r="I12" s="301" t="str">
        <f>"+15%"</f>
        <v>+15%</v>
      </c>
    </row>
    <row r="13" spans="2:10">
      <c r="B13" s="526"/>
      <c r="C13" s="527"/>
      <c r="D13" s="527"/>
      <c r="E13" s="390">
        <f>'Calc A'!B25</f>
        <v>4905.6000000000004</v>
      </c>
      <c r="F13" s="391">
        <f>'Calc Sensitivity'!B25</f>
        <v>4905.6000000000004</v>
      </c>
      <c r="G13" s="527"/>
      <c r="H13" s="527"/>
      <c r="I13" s="536"/>
      <c r="J13" s="3" t="str">
        <f>IF((SUM(B13:D13)+G13+H13+I13)&gt;1,"Error"," ")</f>
        <v xml:space="preserve"> </v>
      </c>
    </row>
    <row r="14" spans="2:10">
      <c r="B14" s="938" t="str">
        <f>languages!A172</f>
        <v xml:space="preserve">Costos RRHH </v>
      </c>
      <c r="C14" s="939"/>
      <c r="D14" s="939"/>
      <c r="E14" s="939"/>
      <c r="F14" s="939"/>
      <c r="G14" s="939"/>
      <c r="H14" s="939"/>
      <c r="I14" s="940"/>
    </row>
    <row r="15" spans="2:10">
      <c r="B15" s="443">
        <v>-0.15</v>
      </c>
      <c r="C15" s="445">
        <v>-0.1</v>
      </c>
      <c r="D15" s="445">
        <v>-0.05</v>
      </c>
      <c r="E15" s="121" t="str">
        <f>languages!$A$235</f>
        <v>Valor Actual</v>
      </c>
      <c r="F15" s="122" t="str">
        <f>languages!$A$236</f>
        <v>Valor Nuevo</v>
      </c>
      <c r="G15" s="445" t="str">
        <f>"+5%"</f>
        <v>+5%</v>
      </c>
      <c r="H15" s="120" t="str">
        <f>"+10%"</f>
        <v>+10%</v>
      </c>
      <c r="I15" s="301" t="str">
        <f>"+15%"</f>
        <v>+15%</v>
      </c>
    </row>
    <row r="16" spans="2:10">
      <c r="B16" s="526"/>
      <c r="C16" s="527"/>
      <c r="D16" s="527"/>
      <c r="E16" s="385">
        <f>'Calc A'!B43</f>
        <v>0</v>
      </c>
      <c r="F16" s="126">
        <f>'Calc Sensitivity'!B43</f>
        <v>0</v>
      </c>
      <c r="G16" s="534"/>
      <c r="H16" s="534"/>
      <c r="I16" s="535"/>
      <c r="J16" s="3" t="str">
        <f>IF((SUM(B16:D16)+G16+H16+I16)&gt;1,"Error"," ")</f>
        <v xml:space="preserve"> </v>
      </c>
    </row>
    <row r="17" spans="2:10">
      <c r="B17" s="935" t="str">
        <f>languages!A176</f>
        <v>Costos Combustible</v>
      </c>
      <c r="C17" s="936"/>
      <c r="D17" s="936"/>
      <c r="E17" s="936"/>
      <c r="F17" s="936"/>
      <c r="G17" s="936"/>
      <c r="H17" s="936"/>
      <c r="I17" s="937"/>
    </row>
    <row r="18" spans="2:10">
      <c r="B18" s="444">
        <v>-0.3</v>
      </c>
      <c r="C18" s="446">
        <v>-0.2</v>
      </c>
      <c r="D18" s="445">
        <v>-0.1</v>
      </c>
      <c r="E18" s="121" t="str">
        <f>languages!$A$235</f>
        <v>Valor Actual</v>
      </c>
      <c r="F18" s="122" t="str">
        <f>languages!$A$236</f>
        <v>Valor Nuevo</v>
      </c>
      <c r="G18" s="120" t="str">
        <f>"+10%"</f>
        <v>+10%</v>
      </c>
      <c r="H18" s="127" t="str">
        <f>"+20%"</f>
        <v>+20%</v>
      </c>
      <c r="I18" s="305" t="str">
        <f>"+30%"</f>
        <v>+30%</v>
      </c>
    </row>
    <row r="19" spans="2:10">
      <c r="B19" s="526"/>
      <c r="C19" s="527"/>
      <c r="D19" s="527"/>
      <c r="E19" s="386">
        <f>'Main Input-Output'!B19</f>
        <v>0</v>
      </c>
      <c r="F19" s="253">
        <f>'Main Input-Output'!D19</f>
        <v>0</v>
      </c>
      <c r="G19" s="529"/>
      <c r="H19" s="529"/>
      <c r="I19" s="533"/>
      <c r="J19" s="3" t="str">
        <f>IF((SUM(B19:D19)+G19+H19+I19)&gt;1,"Error"," ")</f>
        <v xml:space="preserve"> </v>
      </c>
    </row>
    <row r="20" spans="2:10">
      <c r="B20" s="935" t="str">
        <f>languages!A161</f>
        <v>Tasa Interés Crédito (%)</v>
      </c>
      <c r="C20" s="936"/>
      <c r="D20" s="936"/>
      <c r="E20" s="936"/>
      <c r="F20" s="936"/>
      <c r="G20" s="936"/>
      <c r="H20" s="936"/>
      <c r="I20" s="937"/>
    </row>
    <row r="21" spans="2:10">
      <c r="B21" s="444">
        <v>-0.3</v>
      </c>
      <c r="C21" s="446">
        <v>-0.2</v>
      </c>
      <c r="D21" s="445">
        <v>-0.1</v>
      </c>
      <c r="E21" s="121" t="str">
        <f>languages!$A$235</f>
        <v>Valor Actual</v>
      </c>
      <c r="F21" s="122" t="str">
        <f>languages!$A$236</f>
        <v>Valor Nuevo</v>
      </c>
      <c r="G21" s="120" t="str">
        <f>"+10%"</f>
        <v>+10%</v>
      </c>
      <c r="H21" s="127" t="str">
        <f>"+20%"</f>
        <v>+20%</v>
      </c>
      <c r="I21" s="305" t="str">
        <f>"+30%"</f>
        <v>+30%</v>
      </c>
    </row>
    <row r="22" spans="2:10">
      <c r="B22" s="526"/>
      <c r="C22" s="527"/>
      <c r="D22" s="527"/>
      <c r="E22" s="387">
        <f>'Calc A'!B35</f>
        <v>0.06</v>
      </c>
      <c r="F22" s="128">
        <f>'Calc Sensitivity'!B35</f>
        <v>0.06</v>
      </c>
      <c r="G22" s="529"/>
      <c r="H22" s="529"/>
      <c r="I22" s="533"/>
      <c r="J22" s="3" t="str">
        <f>IF((SUM(B22:D22)+G22+H22+I22)&gt;1,"Error"," ")</f>
        <v xml:space="preserve"> </v>
      </c>
    </row>
    <row r="23" spans="2:10">
      <c r="B23" s="935" t="str">
        <f>languages!A154</f>
        <v>Tasa Endeudamiento</v>
      </c>
      <c r="C23" s="936"/>
      <c r="D23" s="936"/>
      <c r="E23" s="936"/>
      <c r="F23" s="936"/>
      <c r="G23" s="936"/>
      <c r="H23" s="936"/>
      <c r="I23" s="937"/>
    </row>
    <row r="24" spans="2:10">
      <c r="B24" s="444">
        <v>-0.3</v>
      </c>
      <c r="C24" s="446">
        <v>-0.2</v>
      </c>
      <c r="D24" s="445">
        <v>-0.1</v>
      </c>
      <c r="E24" s="121" t="str">
        <f>languages!$A$235</f>
        <v>Valor Actual</v>
      </c>
      <c r="F24" s="122" t="str">
        <f>languages!$A$236</f>
        <v>Valor Nuevo</v>
      </c>
      <c r="G24" s="120" t="str">
        <f>"+10%"</f>
        <v>+10%</v>
      </c>
      <c r="H24" s="127" t="str">
        <f>"+20%"</f>
        <v>+20%</v>
      </c>
      <c r="I24" s="305" t="str">
        <f>"+30%"</f>
        <v>+30%</v>
      </c>
    </row>
    <row r="25" spans="2:10">
      <c r="B25" s="528"/>
      <c r="C25" s="529"/>
      <c r="D25" s="529"/>
      <c r="E25" s="388">
        <f>'Calc A'!B28</f>
        <v>0.8</v>
      </c>
      <c r="F25" s="129">
        <f>'Calc Sensitivity'!B28</f>
        <v>0.8</v>
      </c>
      <c r="G25" s="529"/>
      <c r="H25" s="529"/>
      <c r="I25" s="533"/>
      <c r="J25" s="3" t="str">
        <f>IF((SUM(B25:D25)+G25+H25+I25)&gt;1,"Error"," ")</f>
        <v xml:space="preserve"> </v>
      </c>
    </row>
    <row r="26" spans="2:10">
      <c r="B26" s="935" t="str">
        <f>languages!A146</f>
        <v>Costos Inversión Inicial</v>
      </c>
      <c r="C26" s="936"/>
      <c r="D26" s="936"/>
      <c r="E26" s="936"/>
      <c r="F26" s="936"/>
      <c r="G26" s="936"/>
      <c r="H26" s="936"/>
      <c r="I26" s="937"/>
    </row>
    <row r="27" spans="2:10">
      <c r="B27" s="444">
        <v>-0.3</v>
      </c>
      <c r="C27" s="446">
        <v>-0.2</v>
      </c>
      <c r="D27" s="445">
        <v>-0.1</v>
      </c>
      <c r="E27" s="121" t="str">
        <f>languages!$A$235</f>
        <v>Valor Actual</v>
      </c>
      <c r="F27" s="122" t="str">
        <f>languages!$A$236</f>
        <v>Valor Nuevo</v>
      </c>
      <c r="G27" s="120" t="str">
        <f>"+10%"</f>
        <v>+10%</v>
      </c>
      <c r="H27" s="127" t="str">
        <f>"+20%"</f>
        <v>+20%</v>
      </c>
      <c r="I27" s="305" t="str">
        <f>"+30%"</f>
        <v>+30%</v>
      </c>
    </row>
    <row r="28" spans="2:10" ht="13.5" thickBot="1">
      <c r="B28" s="530"/>
      <c r="C28" s="531"/>
      <c r="D28" s="531"/>
      <c r="E28" s="389">
        <f>'Calc A'!B17</f>
        <v>-61000</v>
      </c>
      <c r="F28" s="306">
        <f>'Calc Sensitivity'!B17</f>
        <v>-61000</v>
      </c>
      <c r="G28" s="531"/>
      <c r="H28" s="531"/>
      <c r="I28" s="532"/>
      <c r="J28" s="3" t="str">
        <f>IF((SUM(B28:D28)+G28+H28+I28)&gt;1,"Error"," ")</f>
        <v xml:space="preserve"> </v>
      </c>
    </row>
    <row r="29" spans="2:10"/>
  </sheetData>
  <mergeCells count="8">
    <mergeCell ref="B26:I26"/>
    <mergeCell ref="B5:I5"/>
    <mergeCell ref="B23:I23"/>
    <mergeCell ref="B8:I8"/>
    <mergeCell ref="B11:I11"/>
    <mergeCell ref="B14:I14"/>
    <mergeCell ref="B17:I17"/>
    <mergeCell ref="B20:I20"/>
  </mergeCells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43649" r:id="rId4" name="Button 1">
              <controlPr defaultSize="0" print="0" autoFill="0" autoPict="0" macro="[0]!Reset_sensitivtiy">
                <anchor moveWithCells="1" sizeWithCells="1">
                  <from>
                    <xdr:col>7</xdr:col>
                    <xdr:colOff>571500</xdr:colOff>
                    <xdr:row>1</xdr:row>
                    <xdr:rowOff>38100</xdr:rowOff>
                  </from>
                  <to>
                    <xdr:col>8</xdr:col>
                    <xdr:colOff>657225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"/>
  <sheetViews>
    <sheetView showGridLines="0" view="pageBreakPreview" topLeftCell="A28" zoomScale="110" zoomScaleNormal="100" zoomScaleSheetLayoutView="110" workbookViewId="0">
      <selection activeCell="M13" sqref="M13"/>
    </sheetView>
  </sheetViews>
  <sheetFormatPr baseColWidth="10" defaultColWidth="10.875" defaultRowHeight="15.75"/>
  <cols>
    <col min="1" max="1" width="10.125" style="193" customWidth="1"/>
    <col min="2" max="3" width="10.875" style="193"/>
    <col min="4" max="4" width="12" style="193" customWidth="1"/>
    <col min="5" max="5" width="13.375" style="193" customWidth="1"/>
    <col min="6" max="6" width="12.625" style="193" customWidth="1"/>
    <col min="7" max="9" width="10.875" style="193"/>
    <col min="10" max="10" width="11.5" style="193" customWidth="1"/>
    <col min="11" max="11" width="15" style="193" customWidth="1"/>
    <col min="12" max="12" width="15.875" style="193" customWidth="1"/>
    <col min="13" max="16384" width="10.875" style="193"/>
  </cols>
  <sheetData/>
  <sheetProtection sheet="1" selectLockedCells="1"/>
  <pageMargins left="0.75" right="0.85227272727272729" top="1" bottom="1" header="0.5" footer="0.5"/>
  <pageSetup paperSize="9" scale="53" orientation="landscape" horizontalDpi="4294967292" verticalDpi="4294967292" r:id="rId1"/>
  <headerFooter alignWithMargins="0"/>
  <rowBreaks count="1" manualBreakCount="1">
    <brk id="3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5" tint="-0.249977111117893"/>
  </sheetPr>
  <dimension ref="A1:AC65536"/>
  <sheetViews>
    <sheetView showGridLines="0" workbookViewId="0">
      <selection activeCell="A35" sqref="A35"/>
    </sheetView>
  </sheetViews>
  <sheetFormatPr baseColWidth="10" defaultColWidth="0" defaultRowHeight="12.75" zeroHeight="1"/>
  <cols>
    <col min="1" max="1" width="18.625" style="68" customWidth="1"/>
    <col min="2" max="3" width="9.125" style="68" customWidth="1"/>
    <col min="4" max="4" width="12" style="69" customWidth="1"/>
    <col min="5" max="5" width="12" style="68" customWidth="1"/>
    <col min="6" max="6" width="10" style="69" customWidth="1"/>
    <col min="7" max="7" width="11.125" style="69" customWidth="1"/>
    <col min="8" max="8" width="12.625" style="69" customWidth="1"/>
    <col min="9" max="9" width="11.75" style="69" customWidth="1"/>
    <col min="10" max="10" width="10.375" style="69" bestFit="1" customWidth="1"/>
    <col min="11" max="11" width="13.125" style="69" customWidth="1"/>
    <col min="12" max="13" width="10.625" style="69" customWidth="1"/>
    <col min="14" max="15" width="17" style="69" customWidth="1"/>
    <col min="16" max="16" width="17" style="68" customWidth="1"/>
    <col min="17" max="20" width="17" style="69" customWidth="1"/>
    <col min="21" max="30" width="10" style="69" customWidth="1"/>
    <col min="31" max="16384" width="0" style="69" hidden="1"/>
  </cols>
  <sheetData>
    <row r="1" spans="1:29" ht="13.5" thickBot="1"/>
    <row r="2" spans="1:29">
      <c r="A2" s="941" t="str">
        <f>languages!A319</f>
        <v>Información Inicial del Crédito</v>
      </c>
      <c r="B2" s="942"/>
      <c r="D2" s="821"/>
      <c r="E2" s="822"/>
      <c r="F2" s="823"/>
      <c r="G2" s="826">
        <v>1</v>
      </c>
      <c r="H2" s="629">
        <v>2</v>
      </c>
      <c r="I2" s="629">
        <v>3</v>
      </c>
      <c r="J2" s="629">
        <v>4</v>
      </c>
      <c r="K2" s="629">
        <v>5</v>
      </c>
      <c r="L2" s="629">
        <v>6</v>
      </c>
      <c r="M2" s="629">
        <v>7</v>
      </c>
      <c r="N2" s="629">
        <v>8</v>
      </c>
      <c r="O2" s="629">
        <v>9</v>
      </c>
      <c r="P2" s="629">
        <v>10</v>
      </c>
      <c r="Q2" s="629">
        <v>11</v>
      </c>
      <c r="R2" s="629">
        <v>12</v>
      </c>
      <c r="S2" s="629">
        <v>13</v>
      </c>
      <c r="T2" s="629">
        <v>14</v>
      </c>
      <c r="U2" s="629">
        <v>15</v>
      </c>
      <c r="V2" s="629">
        <v>16</v>
      </c>
      <c r="W2" s="629">
        <v>17</v>
      </c>
      <c r="X2" s="629">
        <v>18</v>
      </c>
      <c r="Y2" s="629">
        <v>19</v>
      </c>
      <c r="Z2" s="629">
        <v>20</v>
      </c>
      <c r="AA2" s="629">
        <v>21</v>
      </c>
      <c r="AB2" s="629">
        <v>22</v>
      </c>
      <c r="AC2" s="630">
        <v>23</v>
      </c>
    </row>
    <row r="3" spans="1:29" s="805" customFormat="1">
      <c r="A3" s="942"/>
      <c r="B3" s="942"/>
      <c r="C3" s="802"/>
      <c r="D3" s="824"/>
      <c r="E3" s="825" t="s">
        <v>869</v>
      </c>
      <c r="F3" s="825"/>
      <c r="G3" s="827">
        <f>'Calc A'!C42</f>
        <v>2015</v>
      </c>
      <c r="H3" s="803">
        <f>'Calc A'!D42</f>
        <v>2016</v>
      </c>
      <c r="I3" s="803">
        <f>'Calc A'!E42</f>
        <v>2017</v>
      </c>
      <c r="J3" s="803">
        <f>'Calc A'!F42</f>
        <v>2018</v>
      </c>
      <c r="K3" s="803">
        <f>'Calc A'!G42</f>
        <v>2019</v>
      </c>
      <c r="L3" s="803">
        <f>'Calc A'!H42</f>
        <v>2020</v>
      </c>
      <c r="M3" s="803">
        <f>'Calc A'!I42</f>
        <v>2021</v>
      </c>
      <c r="N3" s="803">
        <f>'Calc A'!J42</f>
        <v>2022</v>
      </c>
      <c r="O3" s="803">
        <f>'Calc A'!K42</f>
        <v>2023</v>
      </c>
      <c r="P3" s="803">
        <f>'Calc A'!L42</f>
        <v>2024</v>
      </c>
      <c r="Q3" s="803">
        <f>'Calc A'!M42</f>
        <v>2025</v>
      </c>
      <c r="R3" s="803">
        <f>'Calc A'!N42</f>
        <v>2026</v>
      </c>
      <c r="S3" s="803">
        <f>'Calc A'!O42</f>
        <v>2027</v>
      </c>
      <c r="T3" s="803">
        <f>'Calc A'!P42</f>
        <v>2028</v>
      </c>
      <c r="U3" s="803">
        <f>'Calc A'!Q42</f>
        <v>2029</v>
      </c>
      <c r="V3" s="803">
        <f>'Calc A'!R42</f>
        <v>2030</v>
      </c>
      <c r="W3" s="803">
        <f>'Calc A'!S42</f>
        <v>2031</v>
      </c>
      <c r="X3" s="803">
        <f>'Calc A'!T42</f>
        <v>2032</v>
      </c>
      <c r="Y3" s="803">
        <f>'Calc A'!U42</f>
        <v>2033</v>
      </c>
      <c r="Z3" s="803">
        <f>'Calc A'!V42</f>
        <v>2034</v>
      </c>
      <c r="AA3" s="803">
        <f>'Calc A'!AG42</f>
        <v>0</v>
      </c>
      <c r="AB3" s="803">
        <f>'Calc A'!AH42</f>
        <v>0</v>
      </c>
      <c r="AC3" s="804">
        <f>'Calc A'!AI42</f>
        <v>0</v>
      </c>
    </row>
    <row r="4" spans="1:29" s="747" customFormat="1" ht="33" customHeight="1">
      <c r="A4" s="942"/>
      <c r="B4" s="942"/>
      <c r="D4" s="819" t="str">
        <f>languages!A276</f>
        <v>Tasa de Interés</v>
      </c>
      <c r="E4" s="820">
        <f>SUM(G4:AC4)</f>
        <v>37454.83292367337</v>
      </c>
      <c r="F4" s="819"/>
      <c r="G4" s="789">
        <f>SUMIF($K$28:$K$500,G$3,$E$28:$E$500)</f>
        <v>2919.8666666666668</v>
      </c>
      <c r="H4" s="789">
        <f t="shared" ref="H4:AC4" si="0">SUMIF($K$28:$K$500,H$3,$E$28:$E$500)</f>
        <v>2928</v>
      </c>
      <c r="I4" s="789">
        <f t="shared" si="0"/>
        <v>2928</v>
      </c>
      <c r="J4" s="789">
        <f t="shared" si="0"/>
        <v>2888.6909615634813</v>
      </c>
      <c r="K4" s="789">
        <f t="shared" si="0"/>
        <v>2780.1378902971933</v>
      </c>
      <c r="L4" s="789">
        <f t="shared" si="0"/>
        <v>2664.9236171467564</v>
      </c>
      <c r="M4" s="789">
        <f t="shared" si="0"/>
        <v>2542.6393871131309</v>
      </c>
      <c r="N4" s="789">
        <f t="shared" si="0"/>
        <v>2412.8513625391975</v>
      </c>
      <c r="O4" s="789">
        <f t="shared" si="0"/>
        <v>2275.0990839488022</v>
      </c>
      <c r="P4" s="789">
        <f t="shared" si="0"/>
        <v>2128.8938364374158</v>
      </c>
      <c r="Q4" s="789">
        <f t="shared" si="0"/>
        <v>1973.7169158187244</v>
      </c>
      <c r="R4" s="789">
        <f t="shared" si="0"/>
        <v>1809.0177883758165</v>
      </c>
      <c r="S4" s="789">
        <f t="shared" si="0"/>
        <v>1634.2121376881723</v>
      </c>
      <c r="T4" s="789">
        <f t="shared" si="0"/>
        <v>1448.6797916050209</v>
      </c>
      <c r="U4" s="789">
        <f t="shared" si="0"/>
        <v>1251.7625220104208</v>
      </c>
      <c r="V4" s="789">
        <f t="shared" si="0"/>
        <v>1042.7617095741157</v>
      </c>
      <c r="W4" s="789">
        <f t="shared" si="0"/>
        <v>820.93586520320923</v>
      </c>
      <c r="X4" s="789">
        <f t="shared" si="0"/>
        <v>585.4979994013155</v>
      </c>
      <c r="Y4" s="789">
        <f t="shared" si="0"/>
        <v>335.61283020224516</v>
      </c>
      <c r="Z4" s="789">
        <f t="shared" si="0"/>
        <v>83.532558081687682</v>
      </c>
      <c r="AA4" s="789">
        <f t="shared" si="0"/>
        <v>0</v>
      </c>
      <c r="AB4" s="789">
        <f t="shared" si="0"/>
        <v>0</v>
      </c>
      <c r="AC4" s="789">
        <f t="shared" si="0"/>
        <v>0</v>
      </c>
    </row>
    <row r="5" spans="1:29" s="747" customFormat="1" ht="33" customHeight="1">
      <c r="A5" s="942"/>
      <c r="B5" s="942"/>
      <c r="D5" s="751" t="str">
        <f>languages!A277</f>
        <v>Amortización/Reembolso</v>
      </c>
      <c r="E5" s="801">
        <f>SUM(G5:AC5)</f>
        <v>48800</v>
      </c>
      <c r="F5" s="751" t="str">
        <f>IF(ABS(E5-E14)&lt;10,"o.k.","Fehler!")</f>
        <v>o.k.</v>
      </c>
      <c r="G5" s="790">
        <f t="shared" ref="G5:AC5" si="1">SUMIF($K$28:$K$500,G$3,$G$28:$G$500)</f>
        <v>0</v>
      </c>
      <c r="H5" s="790">
        <f t="shared" si="1"/>
        <v>0</v>
      </c>
      <c r="I5" s="790">
        <f t="shared" si="1"/>
        <v>0</v>
      </c>
      <c r="J5" s="790">
        <f t="shared" si="1"/>
        <v>1769.0154849361531</v>
      </c>
      <c r="K5" s="790">
        <f t="shared" si="1"/>
        <v>1877.5685562024414</v>
      </c>
      <c r="L5" s="790">
        <f t="shared" si="1"/>
        <v>1992.782829352878</v>
      </c>
      <c r="M5" s="790">
        <f t="shared" si="1"/>
        <v>2115.0670593865038</v>
      </c>
      <c r="N5" s="790">
        <f t="shared" si="1"/>
        <v>2244.8550839604372</v>
      </c>
      <c r="O5" s="790">
        <f t="shared" si="1"/>
        <v>2382.6073625508325</v>
      </c>
      <c r="P5" s="790">
        <f t="shared" si="1"/>
        <v>2528.8126100622189</v>
      </c>
      <c r="Q5" s="790">
        <f t="shared" si="1"/>
        <v>2683.9895306809103</v>
      </c>
      <c r="R5" s="790">
        <f t="shared" si="1"/>
        <v>2848.6886581238182</v>
      </c>
      <c r="S5" s="790">
        <f t="shared" si="1"/>
        <v>3023.4943088114624</v>
      </c>
      <c r="T5" s="790">
        <f t="shared" si="1"/>
        <v>3209.0266548946133</v>
      </c>
      <c r="U5" s="790">
        <f t="shared" si="1"/>
        <v>3405.9439244892137</v>
      </c>
      <c r="V5" s="790">
        <f t="shared" si="1"/>
        <v>3614.944736925519</v>
      </c>
      <c r="W5" s="790">
        <f t="shared" si="1"/>
        <v>3836.7705812964255</v>
      </c>
      <c r="X5" s="790">
        <f t="shared" si="1"/>
        <v>4072.2084470983191</v>
      </c>
      <c r="Y5" s="790">
        <f t="shared" si="1"/>
        <v>4322.0936162973894</v>
      </c>
      <c r="Z5" s="790">
        <f t="shared" si="1"/>
        <v>2872.1305549308645</v>
      </c>
      <c r="AA5" s="790">
        <f t="shared" si="1"/>
        <v>0</v>
      </c>
      <c r="AB5" s="790">
        <f t="shared" si="1"/>
        <v>0</v>
      </c>
      <c r="AC5" s="790">
        <f t="shared" si="1"/>
        <v>0</v>
      </c>
    </row>
    <row r="6" spans="1:29" s="747" customFormat="1" ht="33" customHeight="1">
      <c r="A6" s="942"/>
      <c r="B6" s="942"/>
      <c r="D6" s="751" t="str">
        <f>languages!A278</f>
        <v>Servicio de Deuda</v>
      </c>
      <c r="E6" s="801">
        <f>SUM(G6:AC6)</f>
        <v>86254.832923673384</v>
      </c>
      <c r="F6" s="751"/>
      <c r="G6" s="789">
        <f t="shared" ref="G6:AC6" si="2">SUMIF($K$28:$K$500,G$3,$J$28:$J$500)</f>
        <v>2919.8666666666668</v>
      </c>
      <c r="H6" s="789">
        <f t="shared" si="2"/>
        <v>2928</v>
      </c>
      <c r="I6" s="789">
        <f t="shared" si="2"/>
        <v>2928</v>
      </c>
      <c r="J6" s="789">
        <f t="shared" si="2"/>
        <v>4657.7064464996347</v>
      </c>
      <c r="K6" s="789">
        <f t="shared" si="2"/>
        <v>4657.7064464996347</v>
      </c>
      <c r="L6" s="789">
        <f t="shared" si="2"/>
        <v>4657.7064464996347</v>
      </c>
      <c r="M6" s="789">
        <f t="shared" si="2"/>
        <v>4657.7064464996347</v>
      </c>
      <c r="N6" s="789">
        <f t="shared" si="2"/>
        <v>4657.7064464996347</v>
      </c>
      <c r="O6" s="789">
        <f t="shared" si="2"/>
        <v>4657.7064464996347</v>
      </c>
      <c r="P6" s="789">
        <f t="shared" si="2"/>
        <v>4657.7064464996347</v>
      </c>
      <c r="Q6" s="789">
        <f t="shared" si="2"/>
        <v>4657.7064464996347</v>
      </c>
      <c r="R6" s="789">
        <f t="shared" si="2"/>
        <v>4657.7064464996347</v>
      </c>
      <c r="S6" s="789">
        <f t="shared" si="2"/>
        <v>4657.7064464996347</v>
      </c>
      <c r="T6" s="789">
        <f t="shared" si="2"/>
        <v>4657.7064464996347</v>
      </c>
      <c r="U6" s="789">
        <f t="shared" si="2"/>
        <v>4657.7064464996347</v>
      </c>
      <c r="V6" s="789">
        <f t="shared" si="2"/>
        <v>4657.7064464996347</v>
      </c>
      <c r="W6" s="789">
        <f t="shared" si="2"/>
        <v>4657.7064464996347</v>
      </c>
      <c r="X6" s="789">
        <f t="shared" si="2"/>
        <v>4657.7064464996347</v>
      </c>
      <c r="Y6" s="789">
        <f t="shared" si="2"/>
        <v>4657.7064464996347</v>
      </c>
      <c r="Z6" s="789">
        <f t="shared" si="2"/>
        <v>2955.663113012552</v>
      </c>
      <c r="AA6" s="789">
        <f t="shared" si="2"/>
        <v>0</v>
      </c>
      <c r="AB6" s="789">
        <f t="shared" si="2"/>
        <v>0</v>
      </c>
      <c r="AC6" s="789">
        <f t="shared" si="2"/>
        <v>0</v>
      </c>
    </row>
    <row r="7" spans="1:29" s="105" customFormat="1">
      <c r="A7" s="103"/>
      <c r="B7" s="103"/>
      <c r="C7" s="103"/>
      <c r="D7" s="104"/>
      <c r="E7" s="104"/>
      <c r="F7" s="104"/>
      <c r="G7" s="104" t="str">
        <f t="shared" ref="G7:AC7" si="3">IF(ABS(G4+G5-G6)&lt;5,"","Fehler!")</f>
        <v/>
      </c>
      <c r="H7" s="104" t="str">
        <f t="shared" si="3"/>
        <v/>
      </c>
      <c r="I7" s="104" t="str">
        <f t="shared" si="3"/>
        <v/>
      </c>
      <c r="J7" s="104" t="str">
        <f t="shared" si="3"/>
        <v/>
      </c>
      <c r="K7" s="104" t="str">
        <f t="shared" si="3"/>
        <v/>
      </c>
      <c r="L7" s="104" t="str">
        <f t="shared" si="3"/>
        <v/>
      </c>
      <c r="M7" s="104" t="str">
        <f t="shared" si="3"/>
        <v/>
      </c>
      <c r="N7" s="104" t="str">
        <f t="shared" si="3"/>
        <v/>
      </c>
      <c r="O7" s="104" t="str">
        <f t="shared" si="3"/>
        <v/>
      </c>
      <c r="P7" s="104" t="str">
        <f t="shared" si="3"/>
        <v/>
      </c>
      <c r="Q7" s="104" t="str">
        <f t="shared" si="3"/>
        <v/>
      </c>
      <c r="R7" s="104" t="str">
        <f t="shared" si="3"/>
        <v/>
      </c>
      <c r="S7" s="104" t="str">
        <f t="shared" si="3"/>
        <v/>
      </c>
      <c r="T7" s="104" t="str">
        <f t="shared" si="3"/>
        <v/>
      </c>
      <c r="U7" s="104" t="str">
        <f t="shared" si="3"/>
        <v/>
      </c>
      <c r="V7" s="104" t="str">
        <f t="shared" si="3"/>
        <v/>
      </c>
      <c r="W7" s="104" t="str">
        <f t="shared" si="3"/>
        <v/>
      </c>
      <c r="X7" s="104" t="str">
        <f t="shared" si="3"/>
        <v/>
      </c>
      <c r="Y7" s="104" t="str">
        <f t="shared" si="3"/>
        <v/>
      </c>
      <c r="Z7" s="104" t="str">
        <f t="shared" si="3"/>
        <v/>
      </c>
      <c r="AA7" s="104" t="str">
        <f t="shared" si="3"/>
        <v/>
      </c>
      <c r="AB7" s="104" t="str">
        <f t="shared" si="3"/>
        <v/>
      </c>
      <c r="AC7" s="104" t="str">
        <f t="shared" si="3"/>
        <v/>
      </c>
    </row>
    <row r="8" spans="1:29"/>
    <row r="9" spans="1:29"/>
    <row r="10" spans="1:29" ht="12" customHeight="1" thickBot="1">
      <c r="A10" s="943"/>
      <c r="B10" s="943"/>
      <c r="C10" s="943"/>
      <c r="D10" s="943"/>
      <c r="E10" s="943"/>
      <c r="F10" s="943"/>
      <c r="G10" s="943"/>
      <c r="P10" s="72" t="str">
        <f>'Main Input-Output'!A97</f>
        <v>Fixe Tilgungsrate - Tasa de reembolso fija</v>
      </c>
      <c r="Q10" s="73">
        <v>2</v>
      </c>
    </row>
    <row r="11" spans="1:29" s="75" customFormat="1" ht="19.5" customHeight="1">
      <c r="A11" s="653" t="str">
        <f>languages!A280</f>
        <v>Financiamiento Escenario Base</v>
      </c>
      <c r="B11" s="654"/>
      <c r="C11" s="654"/>
      <c r="D11" s="655"/>
      <c r="E11" s="655"/>
      <c r="F11" s="656"/>
      <c r="G11" s="656"/>
      <c r="H11" s="656"/>
      <c r="I11" s="656"/>
      <c r="J11" s="656"/>
      <c r="K11" s="657"/>
      <c r="L11" s="69"/>
      <c r="M11" s="69"/>
      <c r="N11" s="69"/>
      <c r="O11" s="69"/>
      <c r="P11" s="74" t="str">
        <f>'Main Input-Output'!A96</f>
        <v>Annuitätendarlehen - Quotas anuales constantes</v>
      </c>
      <c r="Q11" s="73">
        <v>1</v>
      </c>
      <c r="R11" s="69"/>
    </row>
    <row r="12" spans="1:29" s="79" customFormat="1" ht="25.5" customHeight="1">
      <c r="A12" s="771" t="s">
        <v>62</v>
      </c>
      <c r="B12" s="944" t="str">
        <f>'Calc A'!B34</f>
        <v>Annuitätendarlehen - Quotas anuales constantes</v>
      </c>
      <c r="C12" s="944"/>
      <c r="D12" s="944"/>
      <c r="E12" s="772"/>
      <c r="F12" s="772"/>
      <c r="G12" s="772"/>
      <c r="H12" s="772"/>
      <c r="I12" s="772"/>
      <c r="J12" s="772"/>
      <c r="K12" s="773"/>
      <c r="O12" s="749"/>
      <c r="P12" s="749"/>
      <c r="Q12" s="749"/>
      <c r="R12" s="749"/>
    </row>
    <row r="13" spans="1:29" s="79" customFormat="1" ht="25.5" customHeight="1">
      <c r="A13" s="774"/>
      <c r="B13" s="775"/>
      <c r="C13" s="775"/>
      <c r="D13" s="772" t="str">
        <f>languages!A287</f>
        <v>Inicio:</v>
      </c>
      <c r="E13" s="776">
        <f>'Calc A'!B5</f>
        <v>2015</v>
      </c>
      <c r="F13" s="772" t="str">
        <f>languages!A291</f>
        <v>Mes:</v>
      </c>
      <c r="G13" s="777">
        <f>'Main Input-Output'!B34</f>
        <v>1</v>
      </c>
      <c r="H13" s="778">
        <f>DATE(E13,G13,1)</f>
        <v>42005</v>
      </c>
      <c r="I13" s="772" t="str">
        <f>languages!A297</f>
        <v>Puesta en Marcha:</v>
      </c>
      <c r="J13" s="772"/>
      <c r="K13" s="773"/>
      <c r="O13" s="749"/>
      <c r="P13" s="749"/>
      <c r="Q13" s="749"/>
      <c r="R13" s="749"/>
    </row>
    <row r="14" spans="1:29" s="79" customFormat="1" ht="25.5" customHeight="1">
      <c r="A14" s="771" t="str">
        <f>languages!A284</f>
        <v>Monto del Préstamo</v>
      </c>
      <c r="B14" s="772"/>
      <c r="C14" s="772"/>
      <c r="D14" s="772"/>
      <c r="E14" s="791">
        <f>-'Calc A'!B29</f>
        <v>48800</v>
      </c>
      <c r="F14" s="772" t="str">
        <f>languages!A292</f>
        <v>Pago:</v>
      </c>
      <c r="G14" s="772"/>
      <c r="H14" s="779">
        <f>'Calc A'!B38</f>
        <v>0.92</v>
      </c>
      <c r="I14" s="772" t="str">
        <f>languages!A298</f>
        <v>Préstamo Neto:</v>
      </c>
      <c r="J14" s="772"/>
      <c r="K14" s="793">
        <f>E14*H14</f>
        <v>44896</v>
      </c>
      <c r="O14" s="749"/>
      <c r="P14" s="749"/>
      <c r="Q14" s="749"/>
      <c r="R14" s="749"/>
    </row>
    <row r="15" spans="1:29" s="79" customFormat="1" ht="25.5" customHeight="1">
      <c r="A15" s="771" t="str">
        <f>languages!A285</f>
        <v>Tasa de Interés Nominal</v>
      </c>
      <c r="B15" s="772"/>
      <c r="C15" s="780">
        <f>'Calc A'!B35</f>
        <v>0.06</v>
      </c>
      <c r="D15" s="772" t="str">
        <f>languages!A288</f>
        <v>Después de Tasa Fija de Interés:</v>
      </c>
      <c r="E15" s="780">
        <f>'Calc A'!B36</f>
        <v>0.06</v>
      </c>
      <c r="F15" s="781" t="str">
        <f>languages!A282</f>
        <v>Anual</v>
      </c>
      <c r="G15" s="781"/>
      <c r="H15" s="792">
        <f>(PMT(C15,E17-H17,-E14,0,0))</f>
        <v>4657.7064464996347</v>
      </c>
      <c r="I15" s="781" t="str">
        <f>languages!A299</f>
        <v>Tasa de Reembolso</v>
      </c>
      <c r="J15" s="772"/>
      <c r="K15" s="782">
        <f>1/(E17-H17)</f>
        <v>5.8823529411764705E-2</v>
      </c>
      <c r="O15" s="749"/>
      <c r="P15" s="749"/>
      <c r="Q15" s="749"/>
      <c r="R15" s="749"/>
    </row>
    <row r="16" spans="1:29" s="79" customFormat="1" ht="42" customHeight="1">
      <c r="A16" s="771"/>
      <c r="B16" s="772"/>
      <c r="C16" s="775"/>
      <c r="D16" s="772" t="str">
        <f>languages!A289</f>
        <v>Término Tasa Fija de Interés:</v>
      </c>
      <c r="E16" s="778">
        <f>DATE(E13+C17,MONTH($H$13),1)</f>
        <v>48945</v>
      </c>
      <c r="F16" s="781" t="str">
        <f>languages!A294</f>
        <v>Cuotas de Reembolso Anuales</v>
      </c>
      <c r="G16" s="772"/>
      <c r="H16" s="783">
        <f>12-COUNTBLANK(C20:N20)</f>
        <v>4</v>
      </c>
      <c r="I16" s="781" t="str">
        <f>languages!A300</f>
        <v>Inicio Reembolso</v>
      </c>
      <c r="J16" s="775"/>
      <c r="K16" s="784">
        <f>DATE(YEAR(C28),MONTH(C28)+H17*12,DAY(C28))</f>
        <v>43101</v>
      </c>
      <c r="O16" s="749"/>
      <c r="P16" s="749"/>
      <c r="Q16" s="749"/>
      <c r="R16" s="749"/>
    </row>
    <row r="17" spans="1:18" s="79" customFormat="1" ht="25.5" customHeight="1">
      <c r="A17" s="771" t="str">
        <f>languages!A286</f>
        <v>Plazo:</v>
      </c>
      <c r="B17" s="772"/>
      <c r="C17" s="829">
        <f>'Calc A'!B32</f>
        <v>19</v>
      </c>
      <c r="D17" s="828">
        <f>E17-C17</f>
        <v>1</v>
      </c>
      <c r="E17" s="785">
        <f>'Calc A'!B31</f>
        <v>20</v>
      </c>
      <c r="F17" s="772" t="str">
        <f>languages!A295</f>
        <v>Sin Cuotas Crediticias</v>
      </c>
      <c r="G17" s="772"/>
      <c r="H17" s="785">
        <f>'Calc A'!B33</f>
        <v>3</v>
      </c>
      <c r="I17" s="781" t="str">
        <f>languages!A301</f>
        <v>Días de Interés Anual</v>
      </c>
      <c r="J17" s="772"/>
      <c r="K17" s="786">
        <v>360</v>
      </c>
      <c r="N17" s="80"/>
      <c r="O17" s="749"/>
      <c r="P17" s="749"/>
      <c r="Q17" s="749"/>
      <c r="R17" s="749"/>
    </row>
    <row r="18" spans="1:18" s="79" customFormat="1" ht="59.25" customHeight="1">
      <c r="A18" s="787"/>
      <c r="B18" s="788"/>
      <c r="C18" s="781"/>
      <c r="D18" s="781" t="str">
        <f>languages!A290</f>
        <v>Valor al Término Período Tasa Fija:</v>
      </c>
      <c r="E18" s="791">
        <f>VLOOKUP(E16,$C$28:$D$544,2,1)</f>
        <v>3976.9036123702199</v>
      </c>
      <c r="F18" s="781" t="str">
        <f>languages!A296</f>
        <v>Valor de Cuota al Término del Periodo con Tasa de Interés Fija</v>
      </c>
      <c r="G18" s="781"/>
      <c r="H18" s="791">
        <f>(PMT(E15,D17,-E18,0,0))</f>
        <v>4215.517829112433</v>
      </c>
      <c r="I18" s="781" t="str">
        <f>languages!A302</f>
        <v>Fin de Reembolso Crédito</v>
      </c>
      <c r="J18" s="781"/>
      <c r="K18" s="784">
        <f>MAX(L28:L500)</f>
        <v>49217</v>
      </c>
      <c r="N18" s="80"/>
      <c r="O18" s="749"/>
      <c r="P18" s="749"/>
      <c r="Q18" s="749"/>
      <c r="R18" s="749"/>
    </row>
    <row r="19" spans="1:18" s="79" customFormat="1" ht="19.5" customHeight="1">
      <c r="A19" s="81" t="str">
        <f>languages!A303</f>
        <v>Fechas</v>
      </c>
      <c r="B19" s="82"/>
      <c r="C19" s="83"/>
      <c r="D19" s="84" t="str">
        <f t="shared" ref="D19:N19" si="4">IF(OR(AND(YEAR(D20)&lt;&gt;YEAR($C20),D20&lt;&gt;""),AND(YEAR(D21)&lt;&gt;YEAR($C21),D21&lt;&gt;"")),"Eingabefehler!","")</f>
        <v/>
      </c>
      <c r="E19" s="84" t="str">
        <f t="shared" si="4"/>
        <v/>
      </c>
      <c r="F19" s="84" t="str">
        <f t="shared" si="4"/>
        <v/>
      </c>
      <c r="G19" s="84" t="str">
        <f t="shared" si="4"/>
        <v/>
      </c>
      <c r="H19" s="84" t="str">
        <f t="shared" si="4"/>
        <v/>
      </c>
      <c r="I19" s="84" t="str">
        <f t="shared" si="4"/>
        <v/>
      </c>
      <c r="J19" s="84" t="str">
        <f t="shared" si="4"/>
        <v/>
      </c>
      <c r="K19" s="84" t="str">
        <f t="shared" si="4"/>
        <v/>
      </c>
      <c r="L19" s="84" t="str">
        <f t="shared" si="4"/>
        <v/>
      </c>
      <c r="M19" s="84" t="str">
        <f t="shared" si="4"/>
        <v/>
      </c>
      <c r="N19" s="84" t="str">
        <f t="shared" si="4"/>
        <v/>
      </c>
      <c r="O19" s="69"/>
      <c r="P19" s="69"/>
      <c r="Q19" s="69"/>
      <c r="R19" s="69"/>
    </row>
    <row r="20" spans="1:18" s="79" customFormat="1" ht="12" customHeight="1">
      <c r="A20" s="85" t="str">
        <f>languages!A294</f>
        <v>Cuotas de Reembolso Anuales</v>
      </c>
      <c r="B20" s="85"/>
      <c r="C20" s="102">
        <v>40633</v>
      </c>
      <c r="D20" s="102">
        <v>40724</v>
      </c>
      <c r="E20" s="102">
        <v>40816</v>
      </c>
      <c r="F20" s="102">
        <v>40908</v>
      </c>
      <c r="G20" s="658"/>
      <c r="H20" s="659"/>
      <c r="I20" s="659"/>
      <c r="J20" s="659"/>
      <c r="K20" s="659"/>
      <c r="L20" s="659"/>
      <c r="M20" s="659"/>
      <c r="N20" s="659"/>
      <c r="O20" s="69"/>
      <c r="P20" s="69"/>
      <c r="Q20" s="69"/>
      <c r="R20" s="69"/>
    </row>
    <row r="21" spans="1:18" s="79" customFormat="1" ht="12" customHeight="1">
      <c r="A21" s="85" t="str">
        <f>languages!A305</f>
        <v>Fechas Pago Intereses</v>
      </c>
      <c r="B21" s="85"/>
      <c r="C21" s="102">
        <v>40633</v>
      </c>
      <c r="D21" s="102">
        <v>40724</v>
      </c>
      <c r="E21" s="102">
        <v>40816</v>
      </c>
      <c r="F21" s="102">
        <v>40908</v>
      </c>
      <c r="G21" s="658"/>
      <c r="H21" s="659"/>
      <c r="I21" s="659"/>
      <c r="J21" s="659"/>
      <c r="K21" s="659"/>
      <c r="L21" s="659"/>
      <c r="M21" s="659"/>
      <c r="N21" s="659"/>
      <c r="O21" s="69"/>
      <c r="P21" s="69"/>
      <c r="Q21" s="69"/>
      <c r="R21" s="69"/>
    </row>
    <row r="22" spans="1:18" s="79" customFormat="1" ht="12" customHeight="1">
      <c r="A22" s="82"/>
      <c r="B22" s="82"/>
      <c r="C22" s="82"/>
      <c r="D22" s="76"/>
      <c r="E22" s="76"/>
      <c r="F22" s="77"/>
      <c r="G22" s="77"/>
      <c r="H22" s="77"/>
      <c r="I22" s="77"/>
      <c r="J22" s="78"/>
      <c r="K22" s="78"/>
      <c r="N22" s="80"/>
      <c r="O22" s="69"/>
      <c r="P22" s="69"/>
      <c r="Q22" s="69"/>
      <c r="R22" s="69"/>
    </row>
    <row r="23" spans="1:18" s="79" customFormat="1" ht="12" customHeight="1" thickBot="1">
      <c r="A23" s="82"/>
      <c r="B23" s="82"/>
      <c r="C23" s="82"/>
      <c r="D23" s="76"/>
      <c r="E23" s="76"/>
      <c r="F23" s="77"/>
      <c r="G23" s="77"/>
      <c r="H23" s="77"/>
      <c r="I23" s="77"/>
      <c r="J23" s="78"/>
      <c r="K23" s="78"/>
      <c r="N23" s="80"/>
      <c r="O23" s="69"/>
      <c r="P23" s="69"/>
      <c r="Q23" s="69"/>
      <c r="R23" s="69"/>
    </row>
    <row r="24" spans="1:18" s="79" customFormat="1" ht="15" customHeight="1">
      <c r="A24" s="631" t="str">
        <f>languages!A306</f>
        <v>Plan de Pago de Cuotas de Crédito/Intereses</v>
      </c>
      <c r="B24" s="632"/>
      <c r="C24" s="632"/>
      <c r="D24" s="633"/>
      <c r="E24" s="633"/>
      <c r="F24" s="634"/>
      <c r="G24" s="634"/>
      <c r="H24" s="634"/>
      <c r="I24" s="634"/>
      <c r="J24" s="634"/>
      <c r="K24" s="634"/>
      <c r="L24" s="635"/>
      <c r="N24" s="80"/>
      <c r="O24" s="69"/>
      <c r="P24" s="69"/>
      <c r="Q24" s="69"/>
      <c r="R24" s="69"/>
    </row>
    <row r="25" spans="1:18" s="79" customFormat="1" ht="12" customHeight="1">
      <c r="A25" s="636"/>
      <c r="B25" s="637"/>
      <c r="C25" s="637"/>
      <c r="D25" s="638"/>
      <c r="E25" s="638"/>
      <c r="F25" s="78"/>
      <c r="G25" s="78"/>
      <c r="H25" s="78"/>
      <c r="I25" s="78"/>
      <c r="J25" s="78"/>
      <c r="K25" s="78"/>
      <c r="L25" s="639"/>
      <c r="N25" s="80"/>
      <c r="O25" s="69"/>
      <c r="P25" s="69"/>
      <c r="Q25" s="69"/>
      <c r="R25" s="69"/>
    </row>
    <row r="26" spans="1:18" s="79" customFormat="1" ht="18" customHeight="1" thickBot="1">
      <c r="A26" s="640">
        <f>VLOOKUP(B26,P10:Q11,2,0)</f>
        <v>1</v>
      </c>
      <c r="B26" s="87" t="str">
        <f>B12</f>
        <v>Annuitätendarlehen - Quotas anuales constantes</v>
      </c>
      <c r="C26" s="86"/>
      <c r="D26" s="86"/>
      <c r="E26" s="87"/>
      <c r="F26" s="87"/>
      <c r="G26" s="87"/>
      <c r="H26" s="87"/>
      <c r="I26" s="87"/>
      <c r="J26" s="87"/>
      <c r="K26" s="87"/>
      <c r="L26" s="641"/>
      <c r="N26" s="80"/>
      <c r="P26" s="82"/>
    </row>
    <row r="27" spans="1:18" s="89" customFormat="1" ht="38.25">
      <c r="A27" s="642" t="str">
        <f>languages!A307</f>
        <v>Fechas Pago Intereses</v>
      </c>
      <c r="B27" s="643" t="str">
        <f>languages!A308</f>
        <v>Reembolso</v>
      </c>
      <c r="C27" s="643" t="str">
        <f>languages!A309</f>
        <v>Fecha</v>
      </c>
      <c r="D27" s="643" t="str">
        <f>languages!A310</f>
        <v>Valor</v>
      </c>
      <c r="E27" s="643" t="str">
        <f>languages!A311</f>
        <v>Interés</v>
      </c>
      <c r="F27" s="643" t="str">
        <f>languages!A312</f>
        <v>Tasa de Interés</v>
      </c>
      <c r="G27" s="643" t="str">
        <f>languages!A308</f>
        <v>Reembolso</v>
      </c>
      <c r="H27" s="643" t="str">
        <f>languages!A314</f>
        <v xml:space="preserve">Crédito Tasa Fija </v>
      </c>
      <c r="I27" s="643" t="str">
        <f>languages!A315</f>
        <v>Crédito Cuotas Anuales Constantes</v>
      </c>
      <c r="J27" s="643" t="str">
        <f>languages!A316</f>
        <v>Servicio de Deuda</v>
      </c>
      <c r="K27" s="643" t="str">
        <f>languages!A317</f>
        <v>Año</v>
      </c>
      <c r="L27" s="644" t="str">
        <f>languages!A318</f>
        <v>Fin de Reembolso Crédito</v>
      </c>
      <c r="M27" s="79"/>
      <c r="N27" s="80"/>
      <c r="O27" s="79"/>
      <c r="P27" s="82"/>
      <c r="Q27" s="79"/>
      <c r="R27" s="79"/>
    </row>
    <row r="28" spans="1:18" ht="12.75" customHeight="1">
      <c r="A28" s="645">
        <v>0</v>
      </c>
      <c r="B28" s="91">
        <v>0</v>
      </c>
      <c r="C28" s="106">
        <f>H13</f>
        <v>42005</v>
      </c>
      <c r="D28" s="795">
        <f>E14</f>
        <v>48800</v>
      </c>
      <c r="E28" s="794"/>
      <c r="F28" s="107">
        <f>C15</f>
        <v>0.06</v>
      </c>
      <c r="G28" s="795">
        <f t="shared" ref="G28:G91" si="5">IF($A$26=1,I28,H28)</f>
        <v>0</v>
      </c>
      <c r="H28" s="795"/>
      <c r="I28" s="795"/>
      <c r="J28" s="795"/>
      <c r="K28" s="108">
        <f t="shared" ref="K28:K91" si="6">YEAR(C28)</f>
        <v>2015</v>
      </c>
      <c r="L28" s="646" t="str">
        <f t="shared" ref="L28:L91" si="7">IF(AND(D28&gt;1,D29&lt;1),C28,"")</f>
        <v/>
      </c>
      <c r="M28" s="79"/>
      <c r="N28" s="80"/>
      <c r="O28" s="79"/>
      <c r="P28" s="82"/>
      <c r="Q28" s="79"/>
      <c r="R28" s="79"/>
    </row>
    <row r="29" spans="1:18" ht="12.75" customHeight="1">
      <c r="A29" s="645" t="str">
        <f>IF(B29&lt;&gt;"",MAX(A$28:A28)+1,IF(ISNA(HLOOKUP(DATE(YEAR($C$21),MONTH(C29),DAY(C29)),$C$21:$N$21,1,0)),"",MAX(A$28:A28)+1))</f>
        <v/>
      </c>
      <c r="B29" s="91" t="str">
        <f>IF(C29&lt;$K$16,"",IF(ISNA(HLOOKUP(DATE(YEAR($C$20),MONTH($C29),DAY($C29)),$C$20:$N$20,1,0)),"",MAX(B$28:B28)+1))</f>
        <v/>
      </c>
      <c r="C29" s="106">
        <f>DATE(YEAR(C28),MONTH(C28)+1,1)-1</f>
        <v>42035</v>
      </c>
      <c r="D29" s="795">
        <f t="shared" ref="D29:D92" si="8">D28-G28</f>
        <v>48800</v>
      </c>
      <c r="E29" s="795" t="str">
        <f>IF($A29="","",IF($A29=1,D$29*$F29*($C29-$C$28)/$K$17,
(D29*ROUND(($C29-VLOOKUP($A29-1,$A$28:$C29,3,0))/30,0)/12*$F29)
))</f>
        <v/>
      </c>
      <c r="F29" s="107">
        <f t="shared" ref="F29:F92" si="9">IF(C29&gt;=$E$16,$E$15,$C$15)</f>
        <v>0.06</v>
      </c>
      <c r="G29" s="795">
        <f t="shared" si="5"/>
        <v>0</v>
      </c>
      <c r="H29" s="795">
        <f t="shared" ref="H29:H92" si="10">IF(B29="",0,MIN(D29,$E$14*$K$15/$H$16))</f>
        <v>0</v>
      </c>
      <c r="I29" s="795">
        <f t="shared" ref="I29:I92" si="11">IF(B29="",0,MIN(D28,IF(C29&gt;$E$16,$H$18,$H$15)/$H$16-E29))</f>
        <v>0</v>
      </c>
      <c r="J29" s="795">
        <f t="shared" ref="J29:J92" si="12">SUM(E29,G29)</f>
        <v>0</v>
      </c>
      <c r="K29" s="108">
        <f t="shared" si="6"/>
        <v>2015</v>
      </c>
      <c r="L29" s="646" t="str">
        <f t="shared" si="7"/>
        <v/>
      </c>
      <c r="M29" s="79"/>
      <c r="N29" s="80"/>
      <c r="O29" s="79"/>
      <c r="P29" s="82"/>
      <c r="Q29" s="79"/>
      <c r="R29" s="79"/>
    </row>
    <row r="30" spans="1:18" ht="12.75" customHeight="1">
      <c r="A30" s="645" t="str">
        <f>IF(B30&lt;&gt;"",MAX(A$28:A29)+1,IF(ISNA(HLOOKUP(DATE(YEAR($C$21),MONTH(C30),DAY(C30)),$C$21:$N$21,1,0)),"",MAX(A$28:A29)+1))</f>
        <v/>
      </c>
      <c r="B30" s="91" t="str">
        <f>IF(C30&lt;$K$16,"",IF(ISNA(HLOOKUP(DATE(YEAR($C$20),MONTH($C30),DAY($C30)),$C$20:$N$20,1,0)),"",MAX(B$28:B29)+1))</f>
        <v/>
      </c>
      <c r="C30" s="106">
        <f t="shared" ref="C30:C93" si="13">DATE(YEAR(C29),MONTH(C29)+2,1)-1</f>
        <v>42063</v>
      </c>
      <c r="D30" s="795">
        <f t="shared" si="8"/>
        <v>48800</v>
      </c>
      <c r="E30" s="795" t="str">
        <f>IF($A30="","",IF($A30=1,D$29*$F30*($C30-$C$28)/$K$17,
(D30*ROUND(($C30-VLOOKUP($A30-1,$A$28:$C30,3,0))/30,0)/12*$F30)
))</f>
        <v/>
      </c>
      <c r="F30" s="107">
        <f t="shared" si="9"/>
        <v>0.06</v>
      </c>
      <c r="G30" s="795">
        <f t="shared" si="5"/>
        <v>0</v>
      </c>
      <c r="H30" s="795">
        <f t="shared" si="10"/>
        <v>0</v>
      </c>
      <c r="I30" s="795">
        <f t="shared" si="11"/>
        <v>0</v>
      </c>
      <c r="J30" s="795">
        <f t="shared" si="12"/>
        <v>0</v>
      </c>
      <c r="K30" s="108">
        <f t="shared" si="6"/>
        <v>2015</v>
      </c>
      <c r="L30" s="646" t="str">
        <f t="shared" si="7"/>
        <v/>
      </c>
      <c r="M30" s="79"/>
      <c r="N30" s="80"/>
      <c r="O30" s="79"/>
      <c r="P30" s="82"/>
      <c r="Q30" s="79"/>
      <c r="R30" s="79"/>
    </row>
    <row r="31" spans="1:18" ht="12.75" customHeight="1">
      <c r="A31" s="645">
        <f>IF(B31&lt;&gt;"",MAX(A$28:A30)+1,IF(ISNA(HLOOKUP(DATE(YEAR($C$21),MONTH(C31),DAY(C31)),$C$21:$N$21,1,0)),"",MAX(A$28:A30)+1))</f>
        <v>1</v>
      </c>
      <c r="B31" s="91" t="str">
        <f>IF(C31&lt;$K$16,"",IF(ISNA(HLOOKUP(DATE(YEAR($C$20),MONTH($C31),DAY($C31)),$C$20:$N$20,1,0)),"",MAX(B$28:B30)+1))</f>
        <v/>
      </c>
      <c r="C31" s="106">
        <f t="shared" si="13"/>
        <v>42094</v>
      </c>
      <c r="D31" s="795">
        <f t="shared" si="8"/>
        <v>48800</v>
      </c>
      <c r="E31" s="795">
        <f>IF($A31="","",IF($A31=1,D$29*$F31*($C31-$C$28)/$K$17,
(D31*ROUND(($C31-VLOOKUP($A31-1,$A$28:$C31,3,0))/30,0)/12*$F31)
))</f>
        <v>723.86666666666667</v>
      </c>
      <c r="F31" s="107">
        <f t="shared" si="9"/>
        <v>0.06</v>
      </c>
      <c r="G31" s="795">
        <f t="shared" si="5"/>
        <v>0</v>
      </c>
      <c r="H31" s="795">
        <f t="shared" si="10"/>
        <v>0</v>
      </c>
      <c r="I31" s="795">
        <f t="shared" si="11"/>
        <v>0</v>
      </c>
      <c r="J31" s="795">
        <f t="shared" si="12"/>
        <v>723.86666666666667</v>
      </c>
      <c r="K31" s="108">
        <f t="shared" si="6"/>
        <v>2015</v>
      </c>
      <c r="L31" s="646" t="str">
        <f t="shared" si="7"/>
        <v/>
      </c>
      <c r="M31" s="110"/>
      <c r="N31" s="111"/>
      <c r="O31" s="79"/>
      <c r="P31" s="82"/>
      <c r="Q31" s="79"/>
      <c r="R31" s="79"/>
    </row>
    <row r="32" spans="1:18" ht="12.75" customHeight="1">
      <c r="A32" s="645" t="str">
        <f>IF(B32&lt;&gt;"",MAX(A$28:A31)+1,IF(ISNA(HLOOKUP(DATE(YEAR($C$21),MONTH(C32),DAY(C32)),$C$21:$N$21,1,0)),"",MAX(A$28:A31)+1))</f>
        <v/>
      </c>
      <c r="B32" s="91" t="str">
        <f>IF(C32&lt;$K$16,"",IF(ISNA(HLOOKUP(DATE(YEAR($C$20),MONTH($C32),DAY($C32)),$C$20:$N$20,1,0)),"",MAX(B$28:B31)+1))</f>
        <v/>
      </c>
      <c r="C32" s="106">
        <f t="shared" si="13"/>
        <v>42124</v>
      </c>
      <c r="D32" s="795">
        <f t="shared" si="8"/>
        <v>48800</v>
      </c>
      <c r="E32" s="795" t="str">
        <f>IF($A32="","",IF($A32=1,D$29*$F32*($C32-$C$28)/$K$17,
(D32*ROUND(($C32-VLOOKUP($A32-1,$A$28:$C32,3,0))/30,0)/12*$F32)
))</f>
        <v/>
      </c>
      <c r="F32" s="107">
        <f t="shared" si="9"/>
        <v>0.06</v>
      </c>
      <c r="G32" s="795">
        <f t="shared" si="5"/>
        <v>0</v>
      </c>
      <c r="H32" s="795">
        <f t="shared" si="10"/>
        <v>0</v>
      </c>
      <c r="I32" s="795">
        <f t="shared" si="11"/>
        <v>0</v>
      </c>
      <c r="J32" s="795">
        <f t="shared" si="12"/>
        <v>0</v>
      </c>
      <c r="K32" s="108">
        <f t="shared" si="6"/>
        <v>2015</v>
      </c>
      <c r="L32" s="646" t="str">
        <f t="shared" si="7"/>
        <v/>
      </c>
      <c r="M32" s="79"/>
      <c r="N32" s="80"/>
      <c r="O32" s="79"/>
      <c r="P32" s="82"/>
      <c r="Q32" s="79"/>
      <c r="R32" s="79"/>
    </row>
    <row r="33" spans="1:18" ht="12.75" customHeight="1">
      <c r="A33" s="645" t="str">
        <f>IF(B33&lt;&gt;"",MAX(A$28:A32)+1,IF(ISNA(HLOOKUP(DATE(YEAR($C$21),MONTH(C33),DAY(C33)),$C$21:$N$21,1,0)),"",MAX(A$28:A32)+1))</f>
        <v/>
      </c>
      <c r="B33" s="91" t="str">
        <f>IF(C33&lt;$K$16,"",IF(ISNA(HLOOKUP(DATE(YEAR($C$20),MONTH($C33),DAY($C33)),$C$20:$N$20,1,0)),"",MAX(B$28:B32)+1))</f>
        <v/>
      </c>
      <c r="C33" s="106">
        <f t="shared" si="13"/>
        <v>42155</v>
      </c>
      <c r="D33" s="795">
        <f t="shared" si="8"/>
        <v>48800</v>
      </c>
      <c r="E33" s="795" t="str">
        <f>IF($A33="","",IF($A33=1,D$29*$F33*($C33-$C$28)/$K$17,
(D33*ROUND(($C33-VLOOKUP($A33-1,$A$28:$C33,3,0))/30,0)/12*$F33)
))</f>
        <v/>
      </c>
      <c r="F33" s="107">
        <f t="shared" si="9"/>
        <v>0.06</v>
      </c>
      <c r="G33" s="795">
        <f t="shared" si="5"/>
        <v>0</v>
      </c>
      <c r="H33" s="795">
        <f t="shared" si="10"/>
        <v>0</v>
      </c>
      <c r="I33" s="795">
        <f t="shared" si="11"/>
        <v>0</v>
      </c>
      <c r="J33" s="795">
        <f t="shared" si="12"/>
        <v>0</v>
      </c>
      <c r="K33" s="108">
        <f t="shared" si="6"/>
        <v>2015</v>
      </c>
      <c r="L33" s="646" t="str">
        <f t="shared" si="7"/>
        <v/>
      </c>
      <c r="M33" s="79"/>
      <c r="N33" s="80"/>
      <c r="O33" s="79"/>
      <c r="P33" s="82"/>
      <c r="Q33" s="79"/>
      <c r="R33" s="79"/>
    </row>
    <row r="34" spans="1:18" ht="12.75" customHeight="1">
      <c r="A34" s="645">
        <f>IF(B34&lt;&gt;"",MAX(A$28:A33)+1,IF(ISNA(HLOOKUP(DATE(YEAR($C$21),MONTH(C34),DAY(C34)),$C$21:$N$21,1,0)),"",MAX(A$28:A33)+1))</f>
        <v>2</v>
      </c>
      <c r="B34" s="91" t="str">
        <f>IF(C34&lt;$K$16,"",IF(ISNA(HLOOKUP(DATE(YEAR($C$20),MONTH($C34),DAY($C34)),$C$20:$N$20,1,0)),"",MAX(B$28:B33)+1))</f>
        <v/>
      </c>
      <c r="C34" s="106">
        <f t="shared" si="13"/>
        <v>42185</v>
      </c>
      <c r="D34" s="795">
        <f t="shared" si="8"/>
        <v>48800</v>
      </c>
      <c r="E34" s="795">
        <f>IF($A34="","",IF($A34=1,D$29*$F34*($C34-$C$28)/$K$17,
(D34*ROUND(($C34-VLOOKUP($A34-1,$A$28:$C34,3,0))/30,0)/12*$F34)
))</f>
        <v>732</v>
      </c>
      <c r="F34" s="107">
        <f t="shared" si="9"/>
        <v>0.06</v>
      </c>
      <c r="G34" s="795">
        <f t="shared" si="5"/>
        <v>0</v>
      </c>
      <c r="H34" s="795">
        <f t="shared" si="10"/>
        <v>0</v>
      </c>
      <c r="I34" s="795">
        <f t="shared" si="11"/>
        <v>0</v>
      </c>
      <c r="J34" s="795">
        <f t="shared" si="12"/>
        <v>732</v>
      </c>
      <c r="K34" s="108">
        <f t="shared" si="6"/>
        <v>2015</v>
      </c>
      <c r="L34" s="646" t="str">
        <f t="shared" si="7"/>
        <v/>
      </c>
      <c r="M34" s="110"/>
      <c r="N34" s="111"/>
      <c r="O34" s="79"/>
      <c r="P34" s="82"/>
      <c r="Q34" s="79"/>
      <c r="R34" s="79"/>
    </row>
    <row r="35" spans="1:18" ht="12.75" customHeight="1">
      <c r="A35" s="645" t="str">
        <f>IF(B35&lt;&gt;"",MAX(A$28:A34)+1,IF(ISNA(HLOOKUP(DATE(YEAR($C$21),MONTH(C35),DAY(C35)),$C$21:$N$21,1,0)),"",MAX(A$28:A34)+1))</f>
        <v/>
      </c>
      <c r="B35" s="91" t="str">
        <f>IF(C35&lt;$K$16,"",IF(ISNA(HLOOKUP(DATE(YEAR($C$20),MONTH($C35),DAY($C35)),$C$20:$N$20,1,0)),"",MAX(B$28:B34)+1))</f>
        <v/>
      </c>
      <c r="C35" s="106">
        <f t="shared" si="13"/>
        <v>42216</v>
      </c>
      <c r="D35" s="795">
        <f t="shared" si="8"/>
        <v>48800</v>
      </c>
      <c r="E35" s="795" t="str">
        <f>IF($A35="","",IF($A35=1,D$29*$F35*($C35-$C$28)/$K$17,
(D35*ROUND(($C35-VLOOKUP($A35-1,$A$28:$C35,3,0))/30,0)/12*$F35)
))</f>
        <v/>
      </c>
      <c r="F35" s="107">
        <f t="shared" si="9"/>
        <v>0.06</v>
      </c>
      <c r="G35" s="795">
        <f t="shared" si="5"/>
        <v>0</v>
      </c>
      <c r="H35" s="795">
        <f t="shared" si="10"/>
        <v>0</v>
      </c>
      <c r="I35" s="795">
        <f t="shared" si="11"/>
        <v>0</v>
      </c>
      <c r="J35" s="795">
        <f t="shared" si="12"/>
        <v>0</v>
      </c>
      <c r="K35" s="108">
        <f t="shared" si="6"/>
        <v>2015</v>
      </c>
      <c r="L35" s="646" t="str">
        <f t="shared" si="7"/>
        <v/>
      </c>
      <c r="M35" s="79"/>
      <c r="N35" s="80"/>
      <c r="O35" s="79"/>
      <c r="P35" s="82"/>
      <c r="Q35" s="79"/>
      <c r="R35" s="79"/>
    </row>
    <row r="36" spans="1:18" ht="12.75" customHeight="1">
      <c r="A36" s="645" t="str">
        <f>IF(B36&lt;&gt;"",MAX(A$28:A35)+1,IF(ISNA(HLOOKUP(DATE(YEAR($C$21),MONTH(C36),DAY(C36)),$C$21:$N$21,1,0)),"",MAX(A$28:A35)+1))</f>
        <v/>
      </c>
      <c r="B36" s="91" t="str">
        <f>IF(C36&lt;$K$16,"",IF(ISNA(HLOOKUP(DATE(YEAR($C$20),MONTH($C36),DAY($C36)),$C$20:$N$20,1,0)),"",MAX(B$28:B35)+1))</f>
        <v/>
      </c>
      <c r="C36" s="106">
        <f t="shared" si="13"/>
        <v>42247</v>
      </c>
      <c r="D36" s="795">
        <f t="shared" si="8"/>
        <v>48800</v>
      </c>
      <c r="E36" s="795" t="str">
        <f>IF($A36="","",IF($A36=1,D$29*$F36*($C36-$C$28)/$K$17,
(D36*ROUND(($C36-VLOOKUP($A36-1,$A$28:$C36,3,0))/30,0)/12*$F36)
))</f>
        <v/>
      </c>
      <c r="F36" s="107">
        <f t="shared" si="9"/>
        <v>0.06</v>
      </c>
      <c r="G36" s="795">
        <f t="shared" si="5"/>
        <v>0</v>
      </c>
      <c r="H36" s="795">
        <f t="shared" si="10"/>
        <v>0</v>
      </c>
      <c r="I36" s="795">
        <f t="shared" si="11"/>
        <v>0</v>
      </c>
      <c r="J36" s="795">
        <f t="shared" si="12"/>
        <v>0</v>
      </c>
      <c r="K36" s="108">
        <f t="shared" si="6"/>
        <v>2015</v>
      </c>
      <c r="L36" s="646" t="str">
        <f t="shared" si="7"/>
        <v/>
      </c>
      <c r="M36" s="79"/>
      <c r="N36" s="80"/>
      <c r="O36" s="79"/>
      <c r="P36" s="82"/>
      <c r="Q36" s="79"/>
      <c r="R36" s="79"/>
    </row>
    <row r="37" spans="1:18" ht="12.75" customHeight="1">
      <c r="A37" s="645">
        <f>IF(B37&lt;&gt;"",MAX(A$28:A36)+1,IF(ISNA(HLOOKUP(DATE(YEAR($C$21),MONTH(C37),DAY(C37)),$C$21:$N$21,1,0)),"",MAX(A$28:A36)+1))</f>
        <v>3</v>
      </c>
      <c r="B37" s="91" t="str">
        <f>IF(C37&lt;$K$16,"",IF(ISNA(HLOOKUP(DATE(YEAR($C$20),MONTH($C37),DAY($C37)),$C$20:$N$20,1,0)),"",MAX(B$28:B36)+1))</f>
        <v/>
      </c>
      <c r="C37" s="106">
        <f t="shared" si="13"/>
        <v>42277</v>
      </c>
      <c r="D37" s="795">
        <f t="shared" si="8"/>
        <v>48800</v>
      </c>
      <c r="E37" s="795">
        <f>IF($A37="","",IF($A37=1,D$29*$F37*($C37-$C$28)/$K$17,
(D37*ROUND(($C37-VLOOKUP($A37-1,$A$28:$C37,3,0))/30,0)/12*$F37)
))</f>
        <v>732</v>
      </c>
      <c r="F37" s="107">
        <f t="shared" si="9"/>
        <v>0.06</v>
      </c>
      <c r="G37" s="795">
        <f t="shared" si="5"/>
        <v>0</v>
      </c>
      <c r="H37" s="795">
        <f t="shared" si="10"/>
        <v>0</v>
      </c>
      <c r="I37" s="795">
        <f t="shared" si="11"/>
        <v>0</v>
      </c>
      <c r="J37" s="795">
        <f t="shared" si="12"/>
        <v>732</v>
      </c>
      <c r="K37" s="108">
        <f t="shared" si="6"/>
        <v>2015</v>
      </c>
      <c r="L37" s="646" t="str">
        <f t="shared" si="7"/>
        <v/>
      </c>
      <c r="M37" s="110"/>
      <c r="N37" s="111"/>
      <c r="O37" s="79"/>
      <c r="P37" s="82"/>
      <c r="Q37" s="79"/>
      <c r="R37" s="79"/>
    </row>
    <row r="38" spans="1:18" ht="12.75" customHeight="1">
      <c r="A38" s="645" t="str">
        <f>IF(B38&lt;&gt;"",MAX(A$28:A37)+1,IF(ISNA(HLOOKUP(DATE(YEAR($C$21),MONTH(C38),DAY(C38)),$C$21:$N$21,1,0)),"",MAX(A$28:A37)+1))</f>
        <v/>
      </c>
      <c r="B38" s="91" t="str">
        <f>IF(C38&lt;$K$16,"",IF(ISNA(HLOOKUP(DATE(YEAR($C$20),MONTH($C38),DAY($C38)),$C$20:$N$20,1,0)),"",MAX(B$28:B37)+1))</f>
        <v/>
      </c>
      <c r="C38" s="106">
        <f t="shared" si="13"/>
        <v>42308</v>
      </c>
      <c r="D38" s="795">
        <f t="shared" si="8"/>
        <v>48800</v>
      </c>
      <c r="E38" s="795" t="str">
        <f>IF($A38="","",IF($A38=1,D$29*$F38*($C38-$C$28)/$K$17,
(D38*ROUND(($C38-VLOOKUP($A38-1,$A$28:$C38,3,0))/30,0)/12*$F38)
))</f>
        <v/>
      </c>
      <c r="F38" s="107">
        <f t="shared" si="9"/>
        <v>0.06</v>
      </c>
      <c r="G38" s="795">
        <f t="shared" si="5"/>
        <v>0</v>
      </c>
      <c r="H38" s="795">
        <f t="shared" si="10"/>
        <v>0</v>
      </c>
      <c r="I38" s="795">
        <f t="shared" si="11"/>
        <v>0</v>
      </c>
      <c r="J38" s="795">
        <f t="shared" si="12"/>
        <v>0</v>
      </c>
      <c r="K38" s="108">
        <f t="shared" si="6"/>
        <v>2015</v>
      </c>
      <c r="L38" s="646" t="str">
        <f t="shared" si="7"/>
        <v/>
      </c>
      <c r="M38" s="79"/>
      <c r="N38" s="80"/>
      <c r="O38" s="79"/>
      <c r="P38" s="82"/>
      <c r="Q38" s="79"/>
      <c r="R38" s="79"/>
    </row>
    <row r="39" spans="1:18" ht="12.75" customHeight="1">
      <c r="A39" s="645" t="str">
        <f>IF(B39&lt;&gt;"",MAX(A$28:A38)+1,IF(ISNA(HLOOKUP(DATE(YEAR($C$21),MONTH(C39),DAY(C39)),$C$21:$N$21,1,0)),"",MAX(A$28:A38)+1))</f>
        <v/>
      </c>
      <c r="B39" s="91" t="str">
        <f>IF(C39&lt;$K$16,"",IF(ISNA(HLOOKUP(DATE(YEAR($C$20),MONTH($C39),DAY($C39)),$C$20:$N$20,1,0)),"",MAX(B$28:B38)+1))</f>
        <v/>
      </c>
      <c r="C39" s="106">
        <f t="shared" si="13"/>
        <v>42338</v>
      </c>
      <c r="D39" s="795">
        <f t="shared" si="8"/>
        <v>48800</v>
      </c>
      <c r="E39" s="795" t="str">
        <f>IF($A39="","",IF($A39=1,D$29*$F39*($C39-$C$28)/$K$17,
(D39*ROUND(($C39-VLOOKUP($A39-1,$A$28:$C39,3,0))/30,0)/12*$F39)
))</f>
        <v/>
      </c>
      <c r="F39" s="107">
        <f t="shared" si="9"/>
        <v>0.06</v>
      </c>
      <c r="G39" s="795">
        <f t="shared" si="5"/>
        <v>0</v>
      </c>
      <c r="H39" s="795">
        <f t="shared" si="10"/>
        <v>0</v>
      </c>
      <c r="I39" s="795">
        <f t="shared" si="11"/>
        <v>0</v>
      </c>
      <c r="J39" s="795">
        <f t="shared" si="12"/>
        <v>0</v>
      </c>
      <c r="K39" s="108">
        <f t="shared" si="6"/>
        <v>2015</v>
      </c>
      <c r="L39" s="646" t="str">
        <f t="shared" si="7"/>
        <v/>
      </c>
      <c r="M39" s="79"/>
      <c r="N39" s="80"/>
      <c r="O39" s="79"/>
      <c r="P39" s="82"/>
      <c r="Q39" s="79"/>
      <c r="R39" s="79"/>
    </row>
    <row r="40" spans="1:18" ht="12.75" customHeight="1">
      <c r="A40" s="645">
        <f>IF(B40&lt;&gt;"",MAX(A$28:A39)+1,IF(ISNA(HLOOKUP(DATE(YEAR($C$21),MONTH(C40),DAY(C40)),$C$21:$N$21,1,0)),"",MAX(A$28:A39)+1))</f>
        <v>4</v>
      </c>
      <c r="B40" s="91" t="str">
        <f>IF(C40&lt;$K$16,"",IF(ISNA(HLOOKUP(DATE(YEAR($C$20),MONTH($C40),DAY($C40)),$C$20:$N$20,1,0)),"",MAX(B$28:B39)+1))</f>
        <v/>
      </c>
      <c r="C40" s="106">
        <f t="shared" si="13"/>
        <v>42369</v>
      </c>
      <c r="D40" s="795">
        <f t="shared" si="8"/>
        <v>48800</v>
      </c>
      <c r="E40" s="795">
        <f>IF($A40="","",IF($A40=1,D$29*$F40*($C40-$C$28)/$K$17,
(D40*ROUND(($C40-VLOOKUP($A40-1,$A$28:$C40,3,0))/30,0)/12*$F40)
))</f>
        <v>732</v>
      </c>
      <c r="F40" s="107">
        <f t="shared" si="9"/>
        <v>0.06</v>
      </c>
      <c r="G40" s="795">
        <f t="shared" si="5"/>
        <v>0</v>
      </c>
      <c r="H40" s="795">
        <f t="shared" si="10"/>
        <v>0</v>
      </c>
      <c r="I40" s="795">
        <f t="shared" si="11"/>
        <v>0</v>
      </c>
      <c r="J40" s="795">
        <f t="shared" si="12"/>
        <v>732</v>
      </c>
      <c r="K40" s="108">
        <f t="shared" si="6"/>
        <v>2015</v>
      </c>
      <c r="L40" s="646" t="str">
        <f t="shared" si="7"/>
        <v/>
      </c>
      <c r="M40" s="110"/>
      <c r="N40" s="80"/>
      <c r="O40" s="79"/>
      <c r="P40" s="82"/>
      <c r="Q40" s="79"/>
      <c r="R40" s="79"/>
    </row>
    <row r="41" spans="1:18" ht="12.75" customHeight="1">
      <c r="A41" s="645" t="str">
        <f>IF(B41&lt;&gt;"",MAX(A$28:A40)+1,IF(ISNA(HLOOKUP(DATE(YEAR($C$21),MONTH(C41),DAY(C41)),$C$21:$N$21,1,0)),"",MAX(A$28:A40)+1))</f>
        <v/>
      </c>
      <c r="B41" s="91" t="str">
        <f>IF(C41&lt;$K$16,"",IF(ISNA(HLOOKUP(DATE(YEAR($C$20),MONTH($C41),DAY($C41)),$C$20:$N$20,1,0)),"",MAX(B$28:B40)+1))</f>
        <v/>
      </c>
      <c r="C41" s="106">
        <f t="shared" si="13"/>
        <v>42400</v>
      </c>
      <c r="D41" s="795">
        <f t="shared" si="8"/>
        <v>48800</v>
      </c>
      <c r="E41" s="795" t="str">
        <f>IF($A41="","",IF($A41=1,D$29*$F41*($C41-$C$28)/$K$17,
(D41*ROUND(($C41-VLOOKUP($A41-1,$A$28:$C41,3,0))/30,0)/12*$F41)
))</f>
        <v/>
      </c>
      <c r="F41" s="107">
        <f t="shared" si="9"/>
        <v>0.06</v>
      </c>
      <c r="G41" s="795">
        <f t="shared" si="5"/>
        <v>0</v>
      </c>
      <c r="H41" s="795">
        <f t="shared" si="10"/>
        <v>0</v>
      </c>
      <c r="I41" s="795">
        <f t="shared" si="11"/>
        <v>0</v>
      </c>
      <c r="J41" s="795">
        <f t="shared" si="12"/>
        <v>0</v>
      </c>
      <c r="K41" s="108">
        <f t="shared" si="6"/>
        <v>2016</v>
      </c>
      <c r="L41" s="646" t="str">
        <f t="shared" si="7"/>
        <v/>
      </c>
      <c r="M41" s="79"/>
      <c r="N41" s="80"/>
      <c r="O41" s="79"/>
      <c r="P41" s="82"/>
      <c r="Q41" s="79"/>
      <c r="R41" s="79"/>
    </row>
    <row r="42" spans="1:18" ht="12.75" customHeight="1">
      <c r="A42" s="645" t="str">
        <f>IF(B42&lt;&gt;"",MAX(A$28:A41)+1,IF(ISNA(HLOOKUP(DATE(YEAR($C$21),MONTH(C42),DAY(C42)),$C$21:$N$21,1,0)),"",MAX(A$28:A41)+1))</f>
        <v/>
      </c>
      <c r="B42" s="91" t="str">
        <f>IF(C42&lt;$K$16,"",IF(ISNA(HLOOKUP(DATE(YEAR($C$20),MONTH($C42),DAY($C42)),$C$20:$N$20,1,0)),"",MAX(B$28:B41)+1))</f>
        <v/>
      </c>
      <c r="C42" s="106">
        <f t="shared" si="13"/>
        <v>42429</v>
      </c>
      <c r="D42" s="795">
        <f t="shared" si="8"/>
        <v>48800</v>
      </c>
      <c r="E42" s="795" t="str">
        <f>IF($A42="","",IF($A42=1,D$29*$F42*($C42-$C$28)/$K$17,
(D42*ROUND(($C42-VLOOKUP($A42-1,$A$28:$C42,3,0))/30,0)/12*$F42)
))</f>
        <v/>
      </c>
      <c r="F42" s="107">
        <f t="shared" si="9"/>
        <v>0.06</v>
      </c>
      <c r="G42" s="795">
        <f t="shared" si="5"/>
        <v>0</v>
      </c>
      <c r="H42" s="795">
        <f t="shared" si="10"/>
        <v>0</v>
      </c>
      <c r="I42" s="795">
        <f t="shared" si="11"/>
        <v>0</v>
      </c>
      <c r="J42" s="795">
        <f t="shared" si="12"/>
        <v>0</v>
      </c>
      <c r="K42" s="108">
        <f t="shared" si="6"/>
        <v>2016</v>
      </c>
      <c r="L42" s="646" t="str">
        <f t="shared" si="7"/>
        <v/>
      </c>
      <c r="M42" s="79"/>
      <c r="N42" s="80"/>
      <c r="O42" s="79"/>
      <c r="P42" s="82"/>
      <c r="Q42" s="79"/>
      <c r="R42" s="79"/>
    </row>
    <row r="43" spans="1:18" ht="12.75" customHeight="1">
      <c r="A43" s="645">
        <f>IF(B43&lt;&gt;"",MAX(A$28:A42)+1,IF(ISNA(HLOOKUP(DATE(YEAR($C$21),MONTH(C43),DAY(C43)),$C$21:$N$21,1,0)),"",MAX(A$28:A42)+1))</f>
        <v>5</v>
      </c>
      <c r="B43" s="91" t="str">
        <f>IF(C43&lt;$K$16,"",IF(ISNA(HLOOKUP(DATE(YEAR($C$20),MONTH($C43),DAY($C43)),$C$20:$N$20,1,0)),"",MAX(B$28:B42)+1))</f>
        <v/>
      </c>
      <c r="C43" s="106">
        <f t="shared" si="13"/>
        <v>42460</v>
      </c>
      <c r="D43" s="795">
        <f t="shared" si="8"/>
        <v>48800</v>
      </c>
      <c r="E43" s="795">
        <f>IF($A43="","",IF($A43=1,D$29*$F43*($C43-$C$28)/$K$17,
(D43*ROUND(($C43-VLOOKUP($A43-1,$A$28:$C43,3,0))/30,0)/12*$F43)
))</f>
        <v>732</v>
      </c>
      <c r="F43" s="107">
        <f t="shared" si="9"/>
        <v>0.06</v>
      </c>
      <c r="G43" s="795">
        <f t="shared" si="5"/>
        <v>0</v>
      </c>
      <c r="H43" s="795">
        <f t="shared" si="10"/>
        <v>0</v>
      </c>
      <c r="I43" s="795">
        <f t="shared" si="11"/>
        <v>0</v>
      </c>
      <c r="J43" s="795">
        <f t="shared" si="12"/>
        <v>732</v>
      </c>
      <c r="K43" s="108">
        <f t="shared" si="6"/>
        <v>2016</v>
      </c>
      <c r="L43" s="646" t="str">
        <f t="shared" si="7"/>
        <v/>
      </c>
      <c r="M43" s="110"/>
      <c r="N43" s="80"/>
      <c r="O43" s="79"/>
      <c r="P43" s="82"/>
      <c r="Q43" s="79"/>
      <c r="R43" s="79"/>
    </row>
    <row r="44" spans="1:18" ht="12.75" customHeight="1">
      <c r="A44" s="645" t="str">
        <f>IF(B44&lt;&gt;"",MAX(A$28:A43)+1,IF(ISNA(HLOOKUP(DATE(YEAR($C$21),MONTH(C44),DAY(C44)),$C$21:$N$21,1,0)),"",MAX(A$28:A43)+1))</f>
        <v/>
      </c>
      <c r="B44" s="91" t="str">
        <f>IF(C44&lt;$K$16,"",IF(ISNA(HLOOKUP(DATE(YEAR($C$20),MONTH($C44),DAY($C44)),$C$20:$N$20,1,0)),"",MAX(B$28:B43)+1))</f>
        <v/>
      </c>
      <c r="C44" s="106">
        <f t="shared" si="13"/>
        <v>42490</v>
      </c>
      <c r="D44" s="795">
        <f t="shared" si="8"/>
        <v>48800</v>
      </c>
      <c r="E44" s="795" t="str">
        <f>IF($A44="","",IF($A44=1,D$29*$F44*($C44-$C$28)/$K$17,
(D44*ROUND(($C44-VLOOKUP($A44-1,$A$28:$C44,3,0))/30,0)/12*$F44)
))</f>
        <v/>
      </c>
      <c r="F44" s="107">
        <f t="shared" si="9"/>
        <v>0.06</v>
      </c>
      <c r="G44" s="795">
        <f t="shared" si="5"/>
        <v>0</v>
      </c>
      <c r="H44" s="795">
        <f t="shared" si="10"/>
        <v>0</v>
      </c>
      <c r="I44" s="795">
        <f t="shared" si="11"/>
        <v>0</v>
      </c>
      <c r="J44" s="795">
        <f t="shared" si="12"/>
        <v>0</v>
      </c>
      <c r="K44" s="108">
        <f t="shared" si="6"/>
        <v>2016</v>
      </c>
      <c r="L44" s="646" t="str">
        <f t="shared" si="7"/>
        <v/>
      </c>
      <c r="M44" s="79"/>
      <c r="N44" s="80"/>
      <c r="O44" s="79"/>
      <c r="P44" s="82"/>
      <c r="Q44" s="79"/>
      <c r="R44" s="79"/>
    </row>
    <row r="45" spans="1:18" ht="12.75" customHeight="1">
      <c r="A45" s="645" t="str">
        <f>IF(B45&lt;&gt;"",MAX(A$28:A44)+1,IF(ISNA(HLOOKUP(DATE(YEAR($C$21),MONTH(C45),DAY(C45)),$C$21:$N$21,1,0)),"",MAX(A$28:A44)+1))</f>
        <v/>
      </c>
      <c r="B45" s="91" t="str">
        <f>IF(C45&lt;$K$16,"",IF(ISNA(HLOOKUP(DATE(YEAR($C$20),MONTH($C45),DAY($C45)),$C$20:$N$20,1,0)),"",MAX(B$28:B44)+1))</f>
        <v/>
      </c>
      <c r="C45" s="106">
        <f t="shared" si="13"/>
        <v>42521</v>
      </c>
      <c r="D45" s="795">
        <f t="shared" si="8"/>
        <v>48800</v>
      </c>
      <c r="E45" s="795" t="str">
        <f>IF($A45="","",IF($A45=1,D$29*$F45*($C45-$C$28)/$K$17,
(D45*ROUND(($C45-VLOOKUP($A45-1,$A$28:$C45,3,0))/30,0)/12*$F45)
))</f>
        <v/>
      </c>
      <c r="F45" s="107">
        <f t="shared" si="9"/>
        <v>0.06</v>
      </c>
      <c r="G45" s="795">
        <f t="shared" si="5"/>
        <v>0</v>
      </c>
      <c r="H45" s="795">
        <f t="shared" si="10"/>
        <v>0</v>
      </c>
      <c r="I45" s="795">
        <f t="shared" si="11"/>
        <v>0</v>
      </c>
      <c r="J45" s="795">
        <f t="shared" si="12"/>
        <v>0</v>
      </c>
      <c r="K45" s="108">
        <f t="shared" si="6"/>
        <v>2016</v>
      </c>
      <c r="L45" s="646" t="str">
        <f t="shared" si="7"/>
        <v/>
      </c>
      <c r="M45" s="79"/>
      <c r="N45" s="80"/>
      <c r="O45" s="79"/>
      <c r="P45" s="82"/>
      <c r="Q45" s="79"/>
      <c r="R45" s="79"/>
    </row>
    <row r="46" spans="1:18" ht="12.75" customHeight="1">
      <c r="A46" s="645">
        <f>IF(B46&lt;&gt;"",MAX(A$28:A45)+1,IF(ISNA(HLOOKUP(DATE(YEAR($C$21),MONTH(C46),DAY(C46)),$C$21:$N$21,1,0)),"",MAX(A$28:A45)+1))</f>
        <v>6</v>
      </c>
      <c r="B46" s="91" t="str">
        <f>IF(C46&lt;$K$16,"",IF(ISNA(HLOOKUP(DATE(YEAR($C$20),MONTH($C46),DAY($C46)),$C$20:$N$20,1,0)),"",MAX(B$28:B45)+1))</f>
        <v/>
      </c>
      <c r="C46" s="106">
        <f t="shared" si="13"/>
        <v>42551</v>
      </c>
      <c r="D46" s="795">
        <f t="shared" si="8"/>
        <v>48800</v>
      </c>
      <c r="E46" s="795">
        <f>IF($A46="","",IF($A46=1,D$29*$F46*($C46-$C$28)/$K$17,
(D46*ROUND(($C46-VLOOKUP($A46-1,$A$28:$C46,3,0))/30,0)/12*$F46)
))</f>
        <v>732</v>
      </c>
      <c r="F46" s="107">
        <f t="shared" si="9"/>
        <v>0.06</v>
      </c>
      <c r="G46" s="795">
        <f t="shared" si="5"/>
        <v>0</v>
      </c>
      <c r="H46" s="795">
        <f t="shared" si="10"/>
        <v>0</v>
      </c>
      <c r="I46" s="795">
        <f t="shared" si="11"/>
        <v>0</v>
      </c>
      <c r="J46" s="795">
        <f t="shared" si="12"/>
        <v>732</v>
      </c>
      <c r="K46" s="108">
        <f t="shared" si="6"/>
        <v>2016</v>
      </c>
      <c r="L46" s="646" t="str">
        <f t="shared" si="7"/>
        <v/>
      </c>
      <c r="M46" s="79"/>
      <c r="N46" s="80"/>
      <c r="O46" s="79"/>
      <c r="P46" s="82"/>
      <c r="Q46" s="79"/>
      <c r="R46" s="79"/>
    </row>
    <row r="47" spans="1:18" ht="12.75" customHeight="1">
      <c r="A47" s="645" t="str">
        <f>IF(B47&lt;&gt;"",MAX(A$28:A46)+1,IF(ISNA(HLOOKUP(DATE(YEAR($C$21),MONTH(C47),DAY(C47)),$C$21:$N$21,1,0)),"",MAX(A$28:A46)+1))</f>
        <v/>
      </c>
      <c r="B47" s="91" t="str">
        <f>IF(C47&lt;$K$16,"",IF(ISNA(HLOOKUP(DATE(YEAR($C$20),MONTH($C47),DAY($C47)),$C$20:$N$20,1,0)),"",MAX(B$28:B46)+1))</f>
        <v/>
      </c>
      <c r="C47" s="106">
        <f t="shared" si="13"/>
        <v>42582</v>
      </c>
      <c r="D47" s="795">
        <f t="shared" si="8"/>
        <v>48800</v>
      </c>
      <c r="E47" s="795" t="str">
        <f>IF($A47="","",IF($A47=1,D$29*$F47*($C47-$C$28)/$K$17,
(D47*ROUND(($C47-VLOOKUP($A47-1,$A$28:$C47,3,0))/30,0)/12*$F47)
))</f>
        <v/>
      </c>
      <c r="F47" s="107">
        <f t="shared" si="9"/>
        <v>0.06</v>
      </c>
      <c r="G47" s="795">
        <f t="shared" si="5"/>
        <v>0</v>
      </c>
      <c r="H47" s="795">
        <f t="shared" si="10"/>
        <v>0</v>
      </c>
      <c r="I47" s="795">
        <f t="shared" si="11"/>
        <v>0</v>
      </c>
      <c r="J47" s="795">
        <f t="shared" si="12"/>
        <v>0</v>
      </c>
      <c r="K47" s="108">
        <f t="shared" si="6"/>
        <v>2016</v>
      </c>
      <c r="L47" s="646" t="str">
        <f t="shared" si="7"/>
        <v/>
      </c>
      <c r="M47" s="79"/>
      <c r="N47" s="80"/>
      <c r="O47" s="79"/>
      <c r="P47" s="82"/>
      <c r="Q47" s="79"/>
      <c r="R47" s="79"/>
    </row>
    <row r="48" spans="1:18" ht="12.75" customHeight="1">
      <c r="A48" s="645" t="str">
        <f>IF(B48&lt;&gt;"",MAX(A$28:A47)+1,IF(ISNA(HLOOKUP(DATE(YEAR($C$21),MONTH(C48),DAY(C48)),$C$21:$N$21,1,0)),"",MAX(A$28:A47)+1))</f>
        <v/>
      </c>
      <c r="B48" s="91" t="str">
        <f>IF(C48&lt;$K$16,"",IF(ISNA(HLOOKUP(DATE(YEAR($C$20),MONTH($C48),DAY($C48)),$C$20:$N$20,1,0)),"",MAX(B$28:B47)+1))</f>
        <v/>
      </c>
      <c r="C48" s="106">
        <f t="shared" si="13"/>
        <v>42613</v>
      </c>
      <c r="D48" s="795">
        <f t="shared" si="8"/>
        <v>48800</v>
      </c>
      <c r="E48" s="795" t="str">
        <f>IF($A48="","",IF($A48=1,D$29*$F48*($C48-$C$28)/$K$17,
(D48*ROUND(($C48-VLOOKUP($A48-1,$A$28:$C48,3,0))/30,0)/12*$F48)
))</f>
        <v/>
      </c>
      <c r="F48" s="107">
        <f t="shared" si="9"/>
        <v>0.06</v>
      </c>
      <c r="G48" s="795">
        <f t="shared" si="5"/>
        <v>0</v>
      </c>
      <c r="H48" s="795">
        <f t="shared" si="10"/>
        <v>0</v>
      </c>
      <c r="I48" s="795">
        <f t="shared" si="11"/>
        <v>0</v>
      </c>
      <c r="J48" s="795">
        <f t="shared" si="12"/>
        <v>0</v>
      </c>
      <c r="K48" s="108">
        <f t="shared" si="6"/>
        <v>2016</v>
      </c>
      <c r="L48" s="646" t="str">
        <f t="shared" si="7"/>
        <v/>
      </c>
      <c r="M48" s="79"/>
      <c r="N48" s="80"/>
      <c r="O48" s="79"/>
      <c r="P48" s="82"/>
      <c r="Q48" s="79"/>
      <c r="R48" s="79"/>
    </row>
    <row r="49" spans="1:18" ht="12.75" customHeight="1">
      <c r="A49" s="645">
        <f>IF(B49&lt;&gt;"",MAX(A$28:A48)+1,IF(ISNA(HLOOKUP(DATE(YEAR($C$21),MONTH(C49),DAY(C49)),$C$21:$N$21,1,0)),"",MAX(A$28:A48)+1))</f>
        <v>7</v>
      </c>
      <c r="B49" s="91" t="str">
        <f>IF(C49&lt;$K$16,"",IF(ISNA(HLOOKUP(DATE(YEAR($C$20),MONTH($C49),DAY($C49)),$C$20:$N$20,1,0)),"",MAX(B$28:B48)+1))</f>
        <v/>
      </c>
      <c r="C49" s="106">
        <f t="shared" si="13"/>
        <v>42643</v>
      </c>
      <c r="D49" s="795">
        <f t="shared" si="8"/>
        <v>48800</v>
      </c>
      <c r="E49" s="795">
        <f>IF($A49="","",IF($A49=1,D$29*$F49*($C49-$C$28)/$K$17,
(D49*ROUND(($C49-VLOOKUP($A49-1,$A$28:$C49,3,0))/30,0)/12*$F49)
))</f>
        <v>732</v>
      </c>
      <c r="F49" s="107">
        <f t="shared" si="9"/>
        <v>0.06</v>
      </c>
      <c r="G49" s="795">
        <f t="shared" si="5"/>
        <v>0</v>
      </c>
      <c r="H49" s="795">
        <f t="shared" si="10"/>
        <v>0</v>
      </c>
      <c r="I49" s="795">
        <f t="shared" si="11"/>
        <v>0</v>
      </c>
      <c r="J49" s="795">
        <f t="shared" si="12"/>
        <v>732</v>
      </c>
      <c r="K49" s="108">
        <f t="shared" si="6"/>
        <v>2016</v>
      </c>
      <c r="L49" s="646" t="str">
        <f t="shared" si="7"/>
        <v/>
      </c>
      <c r="M49" s="79"/>
      <c r="N49" s="80"/>
      <c r="O49" s="79"/>
      <c r="P49" s="82"/>
      <c r="Q49" s="79"/>
      <c r="R49" s="79"/>
    </row>
    <row r="50" spans="1:18" ht="12.75" customHeight="1">
      <c r="A50" s="645" t="str">
        <f>IF(B50&lt;&gt;"",MAX(A$28:A49)+1,IF(ISNA(HLOOKUP(DATE(YEAR($C$21),MONTH(C50),DAY(C50)),$C$21:$N$21,1,0)),"",MAX(A$28:A49)+1))</f>
        <v/>
      </c>
      <c r="B50" s="91" t="str">
        <f>IF(C50&lt;$K$16,"",IF(ISNA(HLOOKUP(DATE(YEAR($C$20),MONTH($C50),DAY($C50)),$C$20:$N$20,1,0)),"",MAX(B$28:B49)+1))</f>
        <v/>
      </c>
      <c r="C50" s="106">
        <f t="shared" si="13"/>
        <v>42674</v>
      </c>
      <c r="D50" s="795">
        <f t="shared" si="8"/>
        <v>48800</v>
      </c>
      <c r="E50" s="795" t="str">
        <f>IF($A50="","",IF($A50=1,D$29*$F50*($C50-$C$28)/$K$17,
(D50*ROUND(($C50-VLOOKUP($A50-1,$A$28:$C50,3,0))/30,0)/12*$F50)
))</f>
        <v/>
      </c>
      <c r="F50" s="107">
        <f t="shared" si="9"/>
        <v>0.06</v>
      </c>
      <c r="G50" s="795">
        <f t="shared" si="5"/>
        <v>0</v>
      </c>
      <c r="H50" s="795">
        <f t="shared" si="10"/>
        <v>0</v>
      </c>
      <c r="I50" s="795">
        <f t="shared" si="11"/>
        <v>0</v>
      </c>
      <c r="J50" s="795">
        <f t="shared" si="12"/>
        <v>0</v>
      </c>
      <c r="K50" s="108">
        <f t="shared" si="6"/>
        <v>2016</v>
      </c>
      <c r="L50" s="646" t="str">
        <f t="shared" si="7"/>
        <v/>
      </c>
      <c r="M50" s="79"/>
      <c r="N50" s="80"/>
      <c r="O50" s="79"/>
      <c r="P50" s="82"/>
      <c r="Q50" s="79"/>
      <c r="R50" s="79"/>
    </row>
    <row r="51" spans="1:18" ht="12.75" customHeight="1">
      <c r="A51" s="645" t="str">
        <f>IF(B51&lt;&gt;"",MAX(A$28:A50)+1,IF(ISNA(HLOOKUP(DATE(YEAR($C$21),MONTH(C51),DAY(C51)),$C$21:$N$21,1,0)),"",MAX(A$28:A50)+1))</f>
        <v/>
      </c>
      <c r="B51" s="91" t="str">
        <f>IF(C51&lt;$K$16,"",IF(ISNA(HLOOKUP(DATE(YEAR($C$20),MONTH($C51),DAY($C51)),$C$20:$N$20,1,0)),"",MAX(B$28:B50)+1))</f>
        <v/>
      </c>
      <c r="C51" s="106">
        <f t="shared" si="13"/>
        <v>42704</v>
      </c>
      <c r="D51" s="795">
        <f t="shared" si="8"/>
        <v>48800</v>
      </c>
      <c r="E51" s="795" t="str">
        <f>IF($A51="","",IF($A51=1,D$29*$F51*($C51-$C$28)/$K$17,
(D51*ROUND(($C51-VLOOKUP($A51-1,$A$28:$C51,3,0))/30,0)/12*$F51)
))</f>
        <v/>
      </c>
      <c r="F51" s="107">
        <f t="shared" si="9"/>
        <v>0.06</v>
      </c>
      <c r="G51" s="795">
        <f t="shared" si="5"/>
        <v>0</v>
      </c>
      <c r="H51" s="795">
        <f t="shared" si="10"/>
        <v>0</v>
      </c>
      <c r="I51" s="795">
        <f t="shared" si="11"/>
        <v>0</v>
      </c>
      <c r="J51" s="795">
        <f t="shared" si="12"/>
        <v>0</v>
      </c>
      <c r="K51" s="108">
        <f t="shared" si="6"/>
        <v>2016</v>
      </c>
      <c r="L51" s="646" t="str">
        <f t="shared" si="7"/>
        <v/>
      </c>
      <c r="M51" s="79"/>
      <c r="N51" s="80"/>
      <c r="O51" s="79"/>
      <c r="P51" s="82"/>
      <c r="Q51" s="79"/>
      <c r="R51" s="79"/>
    </row>
    <row r="52" spans="1:18" ht="12.75" customHeight="1">
      <c r="A52" s="645">
        <f>IF(B52&lt;&gt;"",MAX(A$28:A51)+1,IF(ISNA(HLOOKUP(DATE(YEAR($C$21),MONTH(C52),DAY(C52)),$C$21:$N$21,1,0)),"",MAX(A$28:A51)+1))</f>
        <v>8</v>
      </c>
      <c r="B52" s="91" t="str">
        <f>IF(C52&lt;$K$16,"",IF(ISNA(HLOOKUP(DATE(YEAR($C$20),MONTH($C52),DAY($C52)),$C$20:$N$20,1,0)),"",MAX(B$28:B51)+1))</f>
        <v/>
      </c>
      <c r="C52" s="106">
        <f t="shared" si="13"/>
        <v>42735</v>
      </c>
      <c r="D52" s="795">
        <f t="shared" si="8"/>
        <v>48800</v>
      </c>
      <c r="E52" s="795">
        <f>IF($A52="","",IF($A52=1,D$29*$F52*($C52-$C$28)/$K$17,
(D52*ROUND(($C52-VLOOKUP($A52-1,$A$28:$C52,3,0))/30,0)/12*$F52)
))</f>
        <v>732</v>
      </c>
      <c r="F52" s="107">
        <f t="shared" si="9"/>
        <v>0.06</v>
      </c>
      <c r="G52" s="795">
        <f t="shared" si="5"/>
        <v>0</v>
      </c>
      <c r="H52" s="795">
        <f t="shared" si="10"/>
        <v>0</v>
      </c>
      <c r="I52" s="795">
        <f t="shared" si="11"/>
        <v>0</v>
      </c>
      <c r="J52" s="795">
        <f t="shared" si="12"/>
        <v>732</v>
      </c>
      <c r="K52" s="108">
        <f t="shared" si="6"/>
        <v>2016</v>
      </c>
      <c r="L52" s="646" t="str">
        <f t="shared" si="7"/>
        <v/>
      </c>
      <c r="M52" s="79"/>
      <c r="N52" s="80"/>
      <c r="O52" s="79"/>
      <c r="P52" s="82"/>
      <c r="Q52" s="79"/>
      <c r="R52" s="79"/>
    </row>
    <row r="53" spans="1:18" ht="12.75" customHeight="1">
      <c r="A53" s="645" t="str">
        <f>IF(B53&lt;&gt;"",MAX(A$28:A52)+1,IF(ISNA(HLOOKUP(DATE(YEAR($C$21),MONTH(C53),DAY(C53)),$C$21:$N$21,1,0)),"",MAX(A$28:A52)+1))</f>
        <v/>
      </c>
      <c r="B53" s="91" t="str">
        <f>IF(C53&lt;$K$16,"",IF(ISNA(HLOOKUP(DATE(YEAR($C$20),MONTH($C53),DAY($C53)),$C$20:$N$20,1,0)),"",MAX(B$28:B52)+1))</f>
        <v/>
      </c>
      <c r="C53" s="106">
        <f t="shared" si="13"/>
        <v>42766</v>
      </c>
      <c r="D53" s="795">
        <f t="shared" si="8"/>
        <v>48800</v>
      </c>
      <c r="E53" s="795" t="str">
        <f>IF($A53="","",IF($A53=1,D$29*$F53*($C53-$C$28)/$K$17,
(D53*ROUND(($C53-VLOOKUP($A53-1,$A$28:$C53,3,0))/30,0)/12*$F53)
))</f>
        <v/>
      </c>
      <c r="F53" s="107">
        <f t="shared" si="9"/>
        <v>0.06</v>
      </c>
      <c r="G53" s="795">
        <f t="shared" si="5"/>
        <v>0</v>
      </c>
      <c r="H53" s="795">
        <f t="shared" si="10"/>
        <v>0</v>
      </c>
      <c r="I53" s="795">
        <f t="shared" si="11"/>
        <v>0</v>
      </c>
      <c r="J53" s="795">
        <f t="shared" si="12"/>
        <v>0</v>
      </c>
      <c r="K53" s="108">
        <f t="shared" si="6"/>
        <v>2017</v>
      </c>
      <c r="L53" s="646" t="str">
        <f t="shared" si="7"/>
        <v/>
      </c>
      <c r="M53" s="79"/>
      <c r="N53" s="80"/>
      <c r="O53" s="79"/>
      <c r="P53" s="82"/>
      <c r="Q53" s="79"/>
      <c r="R53" s="79"/>
    </row>
    <row r="54" spans="1:18" ht="12.75" customHeight="1">
      <c r="A54" s="645" t="str">
        <f>IF(B54&lt;&gt;"",MAX(A$28:A53)+1,IF(ISNA(HLOOKUP(DATE(YEAR($C$21),MONTH(C54),DAY(C54)),$C$21:$N$21,1,0)),"",MAX(A$28:A53)+1))</f>
        <v/>
      </c>
      <c r="B54" s="91" t="str">
        <f>IF(C54&lt;$K$16,"",IF(ISNA(HLOOKUP(DATE(YEAR($C$20),MONTH($C54),DAY($C54)),$C$20:$N$20,1,0)),"",MAX(B$28:B53)+1))</f>
        <v/>
      </c>
      <c r="C54" s="106">
        <f t="shared" si="13"/>
        <v>42794</v>
      </c>
      <c r="D54" s="795">
        <f t="shared" si="8"/>
        <v>48800</v>
      </c>
      <c r="E54" s="795" t="str">
        <f>IF($A54="","",IF($A54=1,D$29*$F54*($C54-$C$28)/$K$17,
(D54*ROUND(($C54-VLOOKUP($A54-1,$A$28:$C54,3,0))/30,0)/12*$F54)
))</f>
        <v/>
      </c>
      <c r="F54" s="107">
        <f t="shared" si="9"/>
        <v>0.06</v>
      </c>
      <c r="G54" s="795">
        <f t="shared" si="5"/>
        <v>0</v>
      </c>
      <c r="H54" s="795">
        <f t="shared" si="10"/>
        <v>0</v>
      </c>
      <c r="I54" s="795">
        <f t="shared" si="11"/>
        <v>0</v>
      </c>
      <c r="J54" s="795">
        <f t="shared" si="12"/>
        <v>0</v>
      </c>
      <c r="K54" s="108">
        <f t="shared" si="6"/>
        <v>2017</v>
      </c>
      <c r="L54" s="646" t="str">
        <f t="shared" si="7"/>
        <v/>
      </c>
      <c r="M54" s="79"/>
      <c r="N54" s="80"/>
      <c r="O54" s="79"/>
      <c r="P54" s="82"/>
      <c r="Q54" s="79"/>
      <c r="R54" s="79"/>
    </row>
    <row r="55" spans="1:18" ht="12.75" customHeight="1">
      <c r="A55" s="645">
        <f>IF(B55&lt;&gt;"",MAX(A$28:A54)+1,IF(ISNA(HLOOKUP(DATE(YEAR($C$21),MONTH(C55),DAY(C55)),$C$21:$N$21,1,0)),"",MAX(A$28:A54)+1))</f>
        <v>9</v>
      </c>
      <c r="B55" s="91" t="str">
        <f>IF(C55&lt;$K$16,"",IF(ISNA(HLOOKUP(DATE(YEAR($C$20),MONTH($C55),DAY($C55)),$C$20:$N$20,1,0)),"",MAX(B$28:B54)+1))</f>
        <v/>
      </c>
      <c r="C55" s="106">
        <f t="shared" si="13"/>
        <v>42825</v>
      </c>
      <c r="D55" s="795">
        <f t="shared" si="8"/>
        <v>48800</v>
      </c>
      <c r="E55" s="795">
        <f>IF($A55="","",IF($A55=1,D$29*$F55*($C55-$C$28)/$K$17,
(D55*ROUND(($C55-VLOOKUP($A55-1,$A$28:$C55,3,0))/30,0)/12*$F55)
))</f>
        <v>732</v>
      </c>
      <c r="F55" s="107">
        <f t="shared" si="9"/>
        <v>0.06</v>
      </c>
      <c r="G55" s="795">
        <f t="shared" si="5"/>
        <v>0</v>
      </c>
      <c r="H55" s="795">
        <f t="shared" si="10"/>
        <v>0</v>
      </c>
      <c r="I55" s="795">
        <f t="shared" si="11"/>
        <v>0</v>
      </c>
      <c r="J55" s="795">
        <f t="shared" si="12"/>
        <v>732</v>
      </c>
      <c r="K55" s="108">
        <f t="shared" si="6"/>
        <v>2017</v>
      </c>
      <c r="L55" s="646" t="str">
        <f t="shared" si="7"/>
        <v/>
      </c>
      <c r="M55" s="79"/>
      <c r="N55" s="80"/>
      <c r="O55" s="79"/>
      <c r="P55" s="82"/>
      <c r="Q55" s="79"/>
      <c r="R55" s="79"/>
    </row>
    <row r="56" spans="1:18" ht="12.75" customHeight="1">
      <c r="A56" s="645" t="str">
        <f>IF(B56&lt;&gt;"",MAX(A$28:A55)+1,IF(ISNA(HLOOKUP(DATE(YEAR($C$21),MONTH(C56),DAY(C56)),$C$21:$N$21,1,0)),"",MAX(A$28:A55)+1))</f>
        <v/>
      </c>
      <c r="B56" s="91" t="str">
        <f>IF(C56&lt;$K$16,"",IF(ISNA(HLOOKUP(DATE(YEAR($C$20),MONTH($C56),DAY($C56)),$C$20:$N$20,1,0)),"",MAX(B$28:B55)+1))</f>
        <v/>
      </c>
      <c r="C56" s="106">
        <f t="shared" si="13"/>
        <v>42855</v>
      </c>
      <c r="D56" s="795">
        <f t="shared" si="8"/>
        <v>48800</v>
      </c>
      <c r="E56" s="795" t="str">
        <f>IF($A56="","",IF($A56=1,D$29*$F56*($C56-$C$28)/$K$17,
(D56*ROUND(($C56-VLOOKUP($A56-1,$A$28:$C56,3,0))/30,0)/12*$F56)
))</f>
        <v/>
      </c>
      <c r="F56" s="107">
        <f t="shared" si="9"/>
        <v>0.06</v>
      </c>
      <c r="G56" s="795">
        <f t="shared" si="5"/>
        <v>0</v>
      </c>
      <c r="H56" s="795">
        <f t="shared" si="10"/>
        <v>0</v>
      </c>
      <c r="I56" s="795">
        <f t="shared" si="11"/>
        <v>0</v>
      </c>
      <c r="J56" s="795">
        <f t="shared" si="12"/>
        <v>0</v>
      </c>
      <c r="K56" s="108">
        <f t="shared" si="6"/>
        <v>2017</v>
      </c>
      <c r="L56" s="646" t="str">
        <f t="shared" si="7"/>
        <v/>
      </c>
      <c r="M56" s="79"/>
      <c r="N56" s="80"/>
      <c r="O56" s="79"/>
      <c r="P56" s="82"/>
      <c r="Q56" s="79"/>
      <c r="R56" s="79"/>
    </row>
    <row r="57" spans="1:18" ht="12.75" customHeight="1">
      <c r="A57" s="645" t="str">
        <f>IF(B57&lt;&gt;"",MAX(A$28:A56)+1,IF(ISNA(HLOOKUP(DATE(YEAR($C$21),MONTH(C57),DAY(C57)),$C$21:$N$21,1,0)),"",MAX(A$28:A56)+1))</f>
        <v/>
      </c>
      <c r="B57" s="91" t="str">
        <f>IF(C57&lt;$K$16,"",IF(ISNA(HLOOKUP(DATE(YEAR($C$20),MONTH($C57),DAY($C57)),$C$20:$N$20,1,0)),"",MAX(B$28:B56)+1))</f>
        <v/>
      </c>
      <c r="C57" s="106">
        <f t="shared" si="13"/>
        <v>42886</v>
      </c>
      <c r="D57" s="795">
        <f t="shared" si="8"/>
        <v>48800</v>
      </c>
      <c r="E57" s="795" t="str">
        <f>IF($A57="","",IF($A57=1,D$29*$F57*($C57-$C$28)/$K$17,
(D57*ROUND(($C57-VLOOKUP($A57-1,$A$28:$C57,3,0))/30,0)/12*$F57)
))</f>
        <v/>
      </c>
      <c r="F57" s="107">
        <f t="shared" si="9"/>
        <v>0.06</v>
      </c>
      <c r="G57" s="795">
        <f t="shared" si="5"/>
        <v>0</v>
      </c>
      <c r="H57" s="795">
        <f t="shared" si="10"/>
        <v>0</v>
      </c>
      <c r="I57" s="795">
        <f t="shared" si="11"/>
        <v>0</v>
      </c>
      <c r="J57" s="795">
        <f t="shared" si="12"/>
        <v>0</v>
      </c>
      <c r="K57" s="108">
        <f t="shared" si="6"/>
        <v>2017</v>
      </c>
      <c r="L57" s="646" t="str">
        <f t="shared" si="7"/>
        <v/>
      </c>
      <c r="M57" s="79"/>
      <c r="N57" s="80"/>
      <c r="O57" s="79"/>
      <c r="P57" s="82"/>
      <c r="Q57" s="79"/>
      <c r="R57" s="79"/>
    </row>
    <row r="58" spans="1:18" ht="12.75" customHeight="1">
      <c r="A58" s="645">
        <f>IF(B58&lt;&gt;"",MAX(A$28:A57)+1,IF(ISNA(HLOOKUP(DATE(YEAR($C$21),MONTH(C58),DAY(C58)),$C$21:$N$21,1,0)),"",MAX(A$28:A57)+1))</f>
        <v>10</v>
      </c>
      <c r="B58" s="91" t="str">
        <f>IF(C58&lt;$K$16,"",IF(ISNA(HLOOKUP(DATE(YEAR($C$20),MONTH($C58),DAY($C58)),$C$20:$N$20,1,0)),"",MAX(B$28:B57)+1))</f>
        <v/>
      </c>
      <c r="C58" s="106">
        <f t="shared" si="13"/>
        <v>42916</v>
      </c>
      <c r="D58" s="795">
        <f t="shared" si="8"/>
        <v>48800</v>
      </c>
      <c r="E58" s="795">
        <f>IF($A58="","",IF($A58=1,D$29*$F58*($C58-$C$28)/$K$17,
(D58*ROUND(($C58-VLOOKUP($A58-1,$A$28:$C58,3,0))/30,0)/12*$F58)
))</f>
        <v>732</v>
      </c>
      <c r="F58" s="107">
        <f t="shared" si="9"/>
        <v>0.06</v>
      </c>
      <c r="G58" s="795">
        <f t="shared" si="5"/>
        <v>0</v>
      </c>
      <c r="H58" s="795">
        <f t="shared" si="10"/>
        <v>0</v>
      </c>
      <c r="I58" s="795">
        <f t="shared" si="11"/>
        <v>0</v>
      </c>
      <c r="J58" s="795">
        <f t="shared" si="12"/>
        <v>732</v>
      </c>
      <c r="K58" s="108">
        <f t="shared" si="6"/>
        <v>2017</v>
      </c>
      <c r="L58" s="646" t="str">
        <f t="shared" si="7"/>
        <v/>
      </c>
      <c r="M58" s="110"/>
      <c r="N58" s="80"/>
      <c r="O58" s="79"/>
      <c r="P58" s="82"/>
      <c r="Q58" s="79"/>
      <c r="R58" s="79"/>
    </row>
    <row r="59" spans="1:18" ht="12.75" customHeight="1">
      <c r="A59" s="645" t="str">
        <f>IF(B59&lt;&gt;"",MAX(A$28:A58)+1,IF(ISNA(HLOOKUP(DATE(YEAR($C$21),MONTH(C59),DAY(C59)),$C$21:$N$21,1,0)),"",MAX(A$28:A58)+1))</f>
        <v/>
      </c>
      <c r="B59" s="91" t="str">
        <f>IF(C59&lt;$K$16,"",IF(ISNA(HLOOKUP(DATE(YEAR($C$20),MONTH($C59),DAY($C59)),$C$20:$N$20,1,0)),"",MAX(B$28:B58)+1))</f>
        <v/>
      </c>
      <c r="C59" s="106">
        <f t="shared" si="13"/>
        <v>42947</v>
      </c>
      <c r="D59" s="795">
        <f t="shared" si="8"/>
        <v>48800</v>
      </c>
      <c r="E59" s="795" t="str">
        <f>IF($A59="","",IF($A59=1,D$29*$F59*($C59-$C$28)/$K$17,
(D59*ROUND(($C59-VLOOKUP($A59-1,$A$28:$C59,3,0))/30,0)/12*$F59)
))</f>
        <v/>
      </c>
      <c r="F59" s="107">
        <f t="shared" si="9"/>
        <v>0.06</v>
      </c>
      <c r="G59" s="795">
        <f t="shared" si="5"/>
        <v>0</v>
      </c>
      <c r="H59" s="795">
        <f t="shared" si="10"/>
        <v>0</v>
      </c>
      <c r="I59" s="795">
        <f t="shared" si="11"/>
        <v>0</v>
      </c>
      <c r="J59" s="795">
        <f t="shared" si="12"/>
        <v>0</v>
      </c>
      <c r="K59" s="108">
        <f t="shared" si="6"/>
        <v>2017</v>
      </c>
      <c r="L59" s="646" t="str">
        <f t="shared" si="7"/>
        <v/>
      </c>
      <c r="M59" s="79"/>
      <c r="N59" s="80"/>
      <c r="O59" s="79"/>
      <c r="P59" s="82"/>
      <c r="Q59" s="79"/>
      <c r="R59" s="79"/>
    </row>
    <row r="60" spans="1:18" ht="12.75" customHeight="1">
      <c r="A60" s="645" t="str">
        <f>IF(B60&lt;&gt;"",MAX(A$28:A59)+1,IF(ISNA(HLOOKUP(DATE(YEAR($C$21),MONTH(C60),DAY(C60)),$C$21:$N$21,1,0)),"",MAX(A$28:A59)+1))</f>
        <v/>
      </c>
      <c r="B60" s="91" t="str">
        <f>IF(C60&lt;$K$16,"",IF(ISNA(HLOOKUP(DATE(YEAR($C$20),MONTH($C60),DAY($C60)),$C$20:$N$20,1,0)),"",MAX(B$28:B59)+1))</f>
        <v/>
      </c>
      <c r="C60" s="106">
        <f t="shared" si="13"/>
        <v>42978</v>
      </c>
      <c r="D60" s="795">
        <f t="shared" si="8"/>
        <v>48800</v>
      </c>
      <c r="E60" s="795" t="str">
        <f>IF($A60="","",IF($A60=1,D$29*$F60*($C60-$C$28)/$K$17,
(D60*ROUND(($C60-VLOOKUP($A60-1,$A$28:$C60,3,0))/30,0)/12*$F60)
))</f>
        <v/>
      </c>
      <c r="F60" s="107">
        <f t="shared" si="9"/>
        <v>0.06</v>
      </c>
      <c r="G60" s="795">
        <f t="shared" si="5"/>
        <v>0</v>
      </c>
      <c r="H60" s="795">
        <f t="shared" si="10"/>
        <v>0</v>
      </c>
      <c r="I60" s="795">
        <f t="shared" si="11"/>
        <v>0</v>
      </c>
      <c r="J60" s="795">
        <f t="shared" si="12"/>
        <v>0</v>
      </c>
      <c r="K60" s="108">
        <f t="shared" si="6"/>
        <v>2017</v>
      </c>
      <c r="L60" s="646" t="str">
        <f t="shared" si="7"/>
        <v/>
      </c>
      <c r="M60" s="79"/>
      <c r="N60" s="80"/>
      <c r="O60" s="79"/>
      <c r="P60" s="82"/>
      <c r="Q60" s="79"/>
      <c r="R60" s="79"/>
    </row>
    <row r="61" spans="1:18" ht="12.75" customHeight="1">
      <c r="A61" s="645">
        <f>IF(B61&lt;&gt;"",MAX(A$28:A60)+1,IF(ISNA(HLOOKUP(DATE(YEAR($C$21),MONTH(C61),DAY(C61)),$C$21:$N$21,1,0)),"",MAX(A$28:A60)+1))</f>
        <v>11</v>
      </c>
      <c r="B61" s="91" t="str">
        <f>IF(C61&lt;$K$16,"",IF(ISNA(HLOOKUP(DATE(YEAR($C$20),MONTH($C61),DAY($C61)),$C$20:$N$20,1,0)),"",MAX(B$28:B60)+1))</f>
        <v/>
      </c>
      <c r="C61" s="106">
        <f t="shared" si="13"/>
        <v>43008</v>
      </c>
      <c r="D61" s="795">
        <f t="shared" si="8"/>
        <v>48800</v>
      </c>
      <c r="E61" s="795">
        <f>IF($A61="","",IF($A61=1,D$29*$F61*($C61-$C$28)/$K$17,
(D61*ROUND(($C61-VLOOKUP($A61-1,$A$28:$C61,3,0))/30,0)/12*$F61)
))</f>
        <v>732</v>
      </c>
      <c r="F61" s="107">
        <f t="shared" si="9"/>
        <v>0.06</v>
      </c>
      <c r="G61" s="795">
        <f t="shared" si="5"/>
        <v>0</v>
      </c>
      <c r="H61" s="795">
        <f t="shared" si="10"/>
        <v>0</v>
      </c>
      <c r="I61" s="795">
        <f t="shared" si="11"/>
        <v>0</v>
      </c>
      <c r="J61" s="795">
        <f t="shared" si="12"/>
        <v>732</v>
      </c>
      <c r="K61" s="108">
        <f t="shared" si="6"/>
        <v>2017</v>
      </c>
      <c r="L61" s="646" t="str">
        <f t="shared" si="7"/>
        <v/>
      </c>
      <c r="M61" s="79"/>
      <c r="N61" s="80"/>
      <c r="O61" s="79"/>
      <c r="P61" s="82"/>
      <c r="Q61" s="79"/>
      <c r="R61" s="79"/>
    </row>
    <row r="62" spans="1:18" ht="12.75" customHeight="1">
      <c r="A62" s="645" t="str">
        <f>IF(B62&lt;&gt;"",MAX(A$28:A61)+1,IF(ISNA(HLOOKUP(DATE(YEAR($C$21),MONTH(C62),DAY(C62)),$C$21:$N$21,1,0)),"",MAX(A$28:A61)+1))</f>
        <v/>
      </c>
      <c r="B62" s="91" t="str">
        <f>IF(C62&lt;$K$16,"",IF(ISNA(HLOOKUP(DATE(YEAR($C$20),MONTH($C62),DAY($C62)),$C$20:$N$20,1,0)),"",MAX(B$28:B61)+1))</f>
        <v/>
      </c>
      <c r="C62" s="106">
        <f t="shared" si="13"/>
        <v>43039</v>
      </c>
      <c r="D62" s="795">
        <f t="shared" si="8"/>
        <v>48800</v>
      </c>
      <c r="E62" s="795" t="str">
        <f>IF($A62="","",IF($A62=1,D$29*$F62*($C62-$C$28)/$K$17,
(D62*ROUND(($C62-VLOOKUP($A62-1,$A$28:$C62,3,0))/30,0)/12*$F62)
))</f>
        <v/>
      </c>
      <c r="F62" s="107">
        <f t="shared" si="9"/>
        <v>0.06</v>
      </c>
      <c r="G62" s="795">
        <f t="shared" si="5"/>
        <v>0</v>
      </c>
      <c r="H62" s="795">
        <f t="shared" si="10"/>
        <v>0</v>
      </c>
      <c r="I62" s="795">
        <f t="shared" si="11"/>
        <v>0</v>
      </c>
      <c r="J62" s="795">
        <f t="shared" si="12"/>
        <v>0</v>
      </c>
      <c r="K62" s="108">
        <f t="shared" si="6"/>
        <v>2017</v>
      </c>
      <c r="L62" s="646" t="str">
        <f t="shared" si="7"/>
        <v/>
      </c>
      <c r="M62" s="79"/>
      <c r="N62" s="80"/>
      <c r="O62" s="79"/>
      <c r="P62" s="82"/>
      <c r="Q62" s="79"/>
      <c r="R62" s="79"/>
    </row>
    <row r="63" spans="1:18" ht="12.75" customHeight="1">
      <c r="A63" s="645" t="str">
        <f>IF(B63&lt;&gt;"",MAX(A$28:A62)+1,IF(ISNA(HLOOKUP(DATE(YEAR($C$21),MONTH(C63),DAY(C63)),$C$21:$N$21,1,0)),"",MAX(A$28:A62)+1))</f>
        <v/>
      </c>
      <c r="B63" s="91" t="str">
        <f>IF(C63&lt;$K$16,"",IF(ISNA(HLOOKUP(DATE(YEAR($C$20),MONTH($C63),DAY($C63)),$C$20:$N$20,1,0)),"",MAX(B$28:B62)+1))</f>
        <v/>
      </c>
      <c r="C63" s="106">
        <f t="shared" si="13"/>
        <v>43069</v>
      </c>
      <c r="D63" s="795">
        <f t="shared" si="8"/>
        <v>48800</v>
      </c>
      <c r="E63" s="795" t="str">
        <f>IF($A63="","",IF($A63=1,D$29*$F63*($C63-$C$28)/$K$17,
(D63*ROUND(($C63-VLOOKUP($A63-1,$A$28:$C63,3,0))/30,0)/12*$F63)
))</f>
        <v/>
      </c>
      <c r="F63" s="107">
        <f t="shared" si="9"/>
        <v>0.06</v>
      </c>
      <c r="G63" s="795">
        <f t="shared" si="5"/>
        <v>0</v>
      </c>
      <c r="H63" s="795">
        <f t="shared" si="10"/>
        <v>0</v>
      </c>
      <c r="I63" s="795">
        <f t="shared" si="11"/>
        <v>0</v>
      </c>
      <c r="J63" s="795">
        <f t="shared" si="12"/>
        <v>0</v>
      </c>
      <c r="K63" s="108">
        <f t="shared" si="6"/>
        <v>2017</v>
      </c>
      <c r="L63" s="646" t="str">
        <f t="shared" si="7"/>
        <v/>
      </c>
      <c r="M63" s="79"/>
      <c r="N63" s="80"/>
      <c r="O63" s="79"/>
      <c r="P63" s="82"/>
      <c r="Q63" s="79"/>
      <c r="R63" s="79"/>
    </row>
    <row r="64" spans="1:18" ht="12.75" customHeight="1">
      <c r="A64" s="645">
        <f>IF(B64&lt;&gt;"",MAX(A$28:A63)+1,IF(ISNA(HLOOKUP(DATE(YEAR($C$21),MONTH(C64),DAY(C64)),$C$21:$N$21,1,0)),"",MAX(A$28:A63)+1))</f>
        <v>12</v>
      </c>
      <c r="B64" s="91" t="str">
        <f>IF(C64&lt;$K$16,"",IF(ISNA(HLOOKUP(DATE(YEAR($C$20),MONTH($C64),DAY($C64)),$C$20:$N$20,1,0)),"",MAX(B$28:B63)+1))</f>
        <v/>
      </c>
      <c r="C64" s="106">
        <f t="shared" si="13"/>
        <v>43100</v>
      </c>
      <c r="D64" s="795">
        <f t="shared" si="8"/>
        <v>48800</v>
      </c>
      <c r="E64" s="795">
        <f>IF($A64="","",IF($A64=1,D$29*$F64*($C64-$C$28)/$K$17,
(D64*ROUND(($C64-VLOOKUP($A64-1,$A$28:$C64,3,0))/30,0)/12*$F64)
))</f>
        <v>732</v>
      </c>
      <c r="F64" s="107">
        <f t="shared" si="9"/>
        <v>0.06</v>
      </c>
      <c r="G64" s="795">
        <f t="shared" si="5"/>
        <v>0</v>
      </c>
      <c r="H64" s="795">
        <f t="shared" si="10"/>
        <v>0</v>
      </c>
      <c r="I64" s="795">
        <f t="shared" si="11"/>
        <v>0</v>
      </c>
      <c r="J64" s="795">
        <f t="shared" si="12"/>
        <v>732</v>
      </c>
      <c r="K64" s="108">
        <f t="shared" si="6"/>
        <v>2017</v>
      </c>
      <c r="L64" s="646" t="str">
        <f t="shared" si="7"/>
        <v/>
      </c>
      <c r="M64" s="79"/>
      <c r="N64" s="80"/>
      <c r="O64" s="79"/>
      <c r="P64" s="82"/>
      <c r="Q64" s="79"/>
      <c r="R64" s="79"/>
    </row>
    <row r="65" spans="1:18" ht="12.75" customHeight="1">
      <c r="A65" s="645" t="str">
        <f>IF(B65&lt;&gt;"",MAX(A$28:A64)+1,IF(ISNA(HLOOKUP(DATE(YEAR($C$21),MONTH(C65),DAY(C65)),$C$21:$N$21,1,0)),"",MAX(A$28:A64)+1))</f>
        <v/>
      </c>
      <c r="B65" s="91" t="str">
        <f>IF(C65&lt;$K$16,"",IF(ISNA(HLOOKUP(DATE(YEAR($C$20),MONTH($C65),DAY($C65)),$C$20:$N$20,1,0)),"",MAX(B$28:B64)+1))</f>
        <v/>
      </c>
      <c r="C65" s="106">
        <f t="shared" si="13"/>
        <v>43131</v>
      </c>
      <c r="D65" s="795">
        <f t="shared" si="8"/>
        <v>48800</v>
      </c>
      <c r="E65" s="795" t="str">
        <f>IF($A65="","",IF($A65=1,D$29*$F65*($C65-$C$28)/$K$17,
(D65*ROUND(($C65-VLOOKUP($A65-1,$A$28:$C65,3,0))/30,0)/12*$F65)
))</f>
        <v/>
      </c>
      <c r="F65" s="107">
        <f t="shared" si="9"/>
        <v>0.06</v>
      </c>
      <c r="G65" s="795">
        <f t="shared" si="5"/>
        <v>0</v>
      </c>
      <c r="H65" s="795">
        <f t="shared" si="10"/>
        <v>0</v>
      </c>
      <c r="I65" s="795">
        <f t="shared" si="11"/>
        <v>0</v>
      </c>
      <c r="J65" s="795">
        <f t="shared" si="12"/>
        <v>0</v>
      </c>
      <c r="K65" s="108">
        <f t="shared" si="6"/>
        <v>2018</v>
      </c>
      <c r="L65" s="646" t="str">
        <f t="shared" si="7"/>
        <v/>
      </c>
      <c r="M65" s="79"/>
      <c r="N65" s="80"/>
      <c r="O65" s="79"/>
      <c r="P65" s="82"/>
      <c r="Q65" s="79"/>
      <c r="R65" s="79"/>
    </row>
    <row r="66" spans="1:18" ht="12.75" customHeight="1">
      <c r="A66" s="645" t="str">
        <f>IF(B66&lt;&gt;"",MAX(A$28:A65)+1,IF(ISNA(HLOOKUP(DATE(YEAR($C$21),MONTH(C66),DAY(C66)),$C$21:$N$21,1,0)),"",MAX(A$28:A65)+1))</f>
        <v/>
      </c>
      <c r="B66" s="91" t="str">
        <f>IF(C66&lt;$K$16,"",IF(ISNA(HLOOKUP(DATE(YEAR($C$20),MONTH($C66),DAY($C66)),$C$20:$N$20,1,0)),"",MAX(B$28:B65)+1))</f>
        <v/>
      </c>
      <c r="C66" s="106">
        <f t="shared" si="13"/>
        <v>43159</v>
      </c>
      <c r="D66" s="795">
        <f t="shared" si="8"/>
        <v>48800</v>
      </c>
      <c r="E66" s="795" t="str">
        <f>IF($A66="","",IF($A66=1,D$29*$F66*($C66-$C$28)/$K$17,
(D66*ROUND(($C66-VLOOKUP($A66-1,$A$28:$C66,3,0))/30,0)/12*$F66)
))</f>
        <v/>
      </c>
      <c r="F66" s="107">
        <f t="shared" si="9"/>
        <v>0.06</v>
      </c>
      <c r="G66" s="795">
        <f t="shared" si="5"/>
        <v>0</v>
      </c>
      <c r="H66" s="795">
        <f t="shared" si="10"/>
        <v>0</v>
      </c>
      <c r="I66" s="795">
        <f t="shared" si="11"/>
        <v>0</v>
      </c>
      <c r="J66" s="795">
        <f t="shared" si="12"/>
        <v>0</v>
      </c>
      <c r="K66" s="108">
        <f t="shared" si="6"/>
        <v>2018</v>
      </c>
      <c r="L66" s="646" t="str">
        <f t="shared" si="7"/>
        <v/>
      </c>
      <c r="M66" s="79"/>
      <c r="N66" s="80"/>
      <c r="O66" s="79"/>
      <c r="P66" s="82"/>
      <c r="Q66" s="79"/>
      <c r="R66" s="79"/>
    </row>
    <row r="67" spans="1:18" ht="12.75" customHeight="1">
      <c r="A67" s="645">
        <f>IF(B67&lt;&gt;"",MAX(A$28:A66)+1,IF(ISNA(HLOOKUP(DATE(YEAR($C$21),MONTH(C67),DAY(C67)),$C$21:$N$21,1,0)),"",MAX(A$28:A66)+1))</f>
        <v>13</v>
      </c>
      <c r="B67" s="91">
        <f>IF(C67&lt;$K$16,"",IF(ISNA(HLOOKUP(DATE(YEAR($C$20),MONTH($C67),DAY($C67)),$C$20:$N$20,1,0)),"",MAX(B$28:B66)+1))</f>
        <v>1</v>
      </c>
      <c r="C67" s="106">
        <f t="shared" si="13"/>
        <v>43190</v>
      </c>
      <c r="D67" s="795">
        <f t="shared" si="8"/>
        <v>48800</v>
      </c>
      <c r="E67" s="795">
        <f>IF($A67="","",IF($A67=1,D$29*$F67*($C67-$C$28)/$K$17,
(D67*ROUND(($C67-VLOOKUP($A67-1,$A$28:$C67,3,0))/30,0)/12*$F67)
))</f>
        <v>732</v>
      </c>
      <c r="F67" s="107">
        <f t="shared" si="9"/>
        <v>0.06</v>
      </c>
      <c r="G67" s="795">
        <f t="shared" si="5"/>
        <v>432.42661162490867</v>
      </c>
      <c r="H67" s="795">
        <f t="shared" si="10"/>
        <v>717.64705882352939</v>
      </c>
      <c r="I67" s="795">
        <f t="shared" si="11"/>
        <v>432.42661162490867</v>
      </c>
      <c r="J67" s="795">
        <f t="shared" si="12"/>
        <v>1164.4266116249087</v>
      </c>
      <c r="K67" s="108">
        <f t="shared" si="6"/>
        <v>2018</v>
      </c>
      <c r="L67" s="646" t="str">
        <f t="shared" si="7"/>
        <v/>
      </c>
      <c r="M67" s="79"/>
      <c r="N67" s="80"/>
      <c r="O67" s="79"/>
      <c r="P67" s="82"/>
      <c r="Q67" s="79"/>
      <c r="R67" s="79"/>
    </row>
    <row r="68" spans="1:18" ht="12.75" customHeight="1">
      <c r="A68" s="645" t="str">
        <f>IF(B68&lt;&gt;"",MAX(A$28:A67)+1,IF(ISNA(HLOOKUP(DATE(YEAR($C$21),MONTH(C68),DAY(C68)),$C$21:$N$21,1,0)),"",MAX(A$28:A67)+1))</f>
        <v/>
      </c>
      <c r="B68" s="91" t="str">
        <f>IF(C68&lt;$K$16,"",IF(ISNA(HLOOKUP(DATE(YEAR($C$20),MONTH($C68),DAY($C68)),$C$20:$N$20,1,0)),"",MAX(B$28:B67)+1))</f>
        <v/>
      </c>
      <c r="C68" s="106">
        <f t="shared" si="13"/>
        <v>43220</v>
      </c>
      <c r="D68" s="795">
        <f t="shared" si="8"/>
        <v>48367.573388375095</v>
      </c>
      <c r="E68" s="795" t="str">
        <f>IF($A68="","",IF($A68=1,D$29*$F68*($C68-$C$28)/$K$17,
(D68*ROUND(($C68-VLOOKUP($A68-1,$A$28:$C68,3,0))/30,0)/12*$F68)
))</f>
        <v/>
      </c>
      <c r="F68" s="107">
        <f t="shared" si="9"/>
        <v>0.06</v>
      </c>
      <c r="G68" s="795">
        <f t="shared" si="5"/>
        <v>0</v>
      </c>
      <c r="H68" s="795">
        <f t="shared" si="10"/>
        <v>0</v>
      </c>
      <c r="I68" s="795">
        <f t="shared" si="11"/>
        <v>0</v>
      </c>
      <c r="J68" s="795">
        <f t="shared" si="12"/>
        <v>0</v>
      </c>
      <c r="K68" s="108">
        <f t="shared" si="6"/>
        <v>2018</v>
      </c>
      <c r="L68" s="646" t="str">
        <f t="shared" si="7"/>
        <v/>
      </c>
      <c r="M68" s="79"/>
      <c r="N68" s="80"/>
      <c r="O68" s="79"/>
      <c r="P68" s="82"/>
      <c r="Q68" s="79"/>
      <c r="R68" s="79"/>
    </row>
    <row r="69" spans="1:18" ht="12.75" customHeight="1">
      <c r="A69" s="645" t="str">
        <f>IF(B69&lt;&gt;"",MAX(A$28:A68)+1,IF(ISNA(HLOOKUP(DATE(YEAR($C$21),MONTH(C69),DAY(C69)),$C$21:$N$21,1,0)),"",MAX(A$28:A68)+1))</f>
        <v/>
      </c>
      <c r="B69" s="91" t="str">
        <f>IF(C69&lt;$K$16,"",IF(ISNA(HLOOKUP(DATE(YEAR($C$20),MONTH($C69),DAY($C69)),$C$20:$N$20,1,0)),"",MAX(B$28:B68)+1))</f>
        <v/>
      </c>
      <c r="C69" s="106">
        <f t="shared" si="13"/>
        <v>43251</v>
      </c>
      <c r="D69" s="795">
        <f t="shared" si="8"/>
        <v>48367.573388375095</v>
      </c>
      <c r="E69" s="795" t="str">
        <f>IF($A69="","",IF($A69=1,D$29*$F69*($C69-$C$28)/$K$17,
(D69*ROUND(($C69-VLOOKUP($A69-1,$A$28:$C69,3,0))/30,0)/12*$F69)
))</f>
        <v/>
      </c>
      <c r="F69" s="107">
        <f t="shared" si="9"/>
        <v>0.06</v>
      </c>
      <c r="G69" s="795">
        <f t="shared" si="5"/>
        <v>0</v>
      </c>
      <c r="H69" s="795">
        <f t="shared" si="10"/>
        <v>0</v>
      </c>
      <c r="I69" s="795">
        <f t="shared" si="11"/>
        <v>0</v>
      </c>
      <c r="J69" s="795">
        <f t="shared" si="12"/>
        <v>0</v>
      </c>
      <c r="K69" s="108">
        <f t="shared" si="6"/>
        <v>2018</v>
      </c>
      <c r="L69" s="646" t="str">
        <f t="shared" si="7"/>
        <v/>
      </c>
      <c r="M69" s="79"/>
      <c r="N69" s="80"/>
      <c r="O69" s="79"/>
      <c r="P69" s="82"/>
      <c r="Q69" s="79"/>
      <c r="R69" s="79"/>
    </row>
    <row r="70" spans="1:18" ht="12.75" customHeight="1">
      <c r="A70" s="645">
        <f>IF(B70&lt;&gt;"",MAX(A$28:A69)+1,IF(ISNA(HLOOKUP(DATE(YEAR($C$21),MONTH(C70),DAY(C70)),$C$21:$N$21,1,0)),"",MAX(A$28:A69)+1))</f>
        <v>14</v>
      </c>
      <c r="B70" s="91">
        <f>IF(C70&lt;$K$16,"",IF(ISNA(HLOOKUP(DATE(YEAR($C$20),MONTH($C70),DAY($C70)),$C$20:$N$20,1,0)),"",MAX(B$28:B69)+1))</f>
        <v>2</v>
      </c>
      <c r="C70" s="106">
        <f t="shared" si="13"/>
        <v>43281</v>
      </c>
      <c r="D70" s="795">
        <f t="shared" si="8"/>
        <v>48367.573388375095</v>
      </c>
      <c r="E70" s="795">
        <f>IF($A70="","",IF($A70=1,D$29*$F70*($C70-$C$28)/$K$17,
(D70*ROUND(($C70-VLOOKUP($A70-1,$A$28:$C70,3,0))/30,0)/12*$F70)
))</f>
        <v>725.51360082562633</v>
      </c>
      <c r="F70" s="107">
        <f t="shared" si="9"/>
        <v>0.06</v>
      </c>
      <c r="G70" s="795">
        <f t="shared" si="5"/>
        <v>438.91301079928235</v>
      </c>
      <c r="H70" s="795">
        <f t="shared" si="10"/>
        <v>717.64705882352939</v>
      </c>
      <c r="I70" s="795">
        <f t="shared" si="11"/>
        <v>438.91301079928235</v>
      </c>
      <c r="J70" s="795">
        <f t="shared" si="12"/>
        <v>1164.4266116249087</v>
      </c>
      <c r="K70" s="108">
        <f t="shared" si="6"/>
        <v>2018</v>
      </c>
      <c r="L70" s="646" t="str">
        <f t="shared" si="7"/>
        <v/>
      </c>
      <c r="M70" s="79"/>
      <c r="N70" s="80"/>
      <c r="O70" s="79"/>
      <c r="P70" s="82"/>
      <c r="Q70" s="79"/>
      <c r="R70" s="79"/>
    </row>
    <row r="71" spans="1:18" ht="12.75" customHeight="1">
      <c r="A71" s="645" t="str">
        <f>IF(B71&lt;&gt;"",MAX(A$28:A70)+1,IF(ISNA(HLOOKUP(DATE(YEAR($C$21),MONTH(C71),DAY(C71)),$C$21:$N$21,1,0)),"",MAX(A$28:A70)+1))</f>
        <v/>
      </c>
      <c r="B71" s="91" t="str">
        <f>IF(C71&lt;$K$16,"",IF(ISNA(HLOOKUP(DATE(YEAR($C$20),MONTH($C71),DAY($C71)),$C$20:$N$20,1,0)),"",MAX(B$28:B70)+1))</f>
        <v/>
      </c>
      <c r="C71" s="106">
        <f t="shared" si="13"/>
        <v>43312</v>
      </c>
      <c r="D71" s="795">
        <f t="shared" si="8"/>
        <v>47928.660377575812</v>
      </c>
      <c r="E71" s="795" t="str">
        <f>IF($A71="","",IF($A71=1,D$29*$F71*($C71-$C$28)/$K$17,
(D71*ROUND(($C71-VLOOKUP($A71-1,$A$28:$C71,3,0))/30,0)/12*$F71)
))</f>
        <v/>
      </c>
      <c r="F71" s="107">
        <f t="shared" si="9"/>
        <v>0.06</v>
      </c>
      <c r="G71" s="795">
        <f t="shared" si="5"/>
        <v>0</v>
      </c>
      <c r="H71" s="795">
        <f t="shared" si="10"/>
        <v>0</v>
      </c>
      <c r="I71" s="795">
        <f t="shared" si="11"/>
        <v>0</v>
      </c>
      <c r="J71" s="795">
        <f t="shared" si="12"/>
        <v>0</v>
      </c>
      <c r="K71" s="108">
        <f t="shared" si="6"/>
        <v>2018</v>
      </c>
      <c r="L71" s="646" t="str">
        <f t="shared" si="7"/>
        <v/>
      </c>
      <c r="M71" s="79"/>
      <c r="N71" s="80"/>
      <c r="O71" s="79"/>
      <c r="P71" s="82"/>
      <c r="Q71" s="79"/>
      <c r="R71" s="79"/>
    </row>
    <row r="72" spans="1:18" ht="12.75" customHeight="1">
      <c r="A72" s="645" t="str">
        <f>IF(B72&lt;&gt;"",MAX(A$28:A71)+1,IF(ISNA(HLOOKUP(DATE(YEAR($C$21),MONTH(C72),DAY(C72)),$C$21:$N$21,1,0)),"",MAX(A$28:A71)+1))</f>
        <v/>
      </c>
      <c r="B72" s="91" t="str">
        <f>IF(C72&lt;$K$16,"",IF(ISNA(HLOOKUP(DATE(YEAR($C$20),MONTH($C72),DAY($C72)),$C$20:$N$20,1,0)),"",MAX(B$28:B71)+1))</f>
        <v/>
      </c>
      <c r="C72" s="106">
        <f t="shared" si="13"/>
        <v>43343</v>
      </c>
      <c r="D72" s="795">
        <f t="shared" si="8"/>
        <v>47928.660377575812</v>
      </c>
      <c r="E72" s="795" t="str">
        <f>IF($A72="","",IF($A72=1,D$29*$F72*($C72-$C$28)/$K$17,
(D72*ROUND(($C72-VLOOKUP($A72-1,$A$28:$C72,3,0))/30,0)/12*$F72)
))</f>
        <v/>
      </c>
      <c r="F72" s="107">
        <f t="shared" si="9"/>
        <v>0.06</v>
      </c>
      <c r="G72" s="795">
        <f t="shared" si="5"/>
        <v>0</v>
      </c>
      <c r="H72" s="795">
        <f t="shared" si="10"/>
        <v>0</v>
      </c>
      <c r="I72" s="795">
        <f t="shared" si="11"/>
        <v>0</v>
      </c>
      <c r="J72" s="795">
        <f t="shared" si="12"/>
        <v>0</v>
      </c>
      <c r="K72" s="108">
        <f t="shared" si="6"/>
        <v>2018</v>
      </c>
      <c r="L72" s="646" t="str">
        <f t="shared" si="7"/>
        <v/>
      </c>
      <c r="M72" s="79"/>
      <c r="N72" s="80"/>
      <c r="O72" s="79"/>
      <c r="P72" s="82"/>
      <c r="Q72" s="79"/>
      <c r="R72" s="79"/>
    </row>
    <row r="73" spans="1:18" ht="12.75" customHeight="1">
      <c r="A73" s="645">
        <f>IF(B73&lt;&gt;"",MAX(A$28:A72)+1,IF(ISNA(HLOOKUP(DATE(YEAR($C$21),MONTH(C73),DAY(C73)),$C$21:$N$21,1,0)),"",MAX(A$28:A72)+1))</f>
        <v>15</v>
      </c>
      <c r="B73" s="91">
        <f>IF(C73&lt;$K$16,"",IF(ISNA(HLOOKUP(DATE(YEAR($C$20),MONTH($C73),DAY($C73)),$C$20:$N$20,1,0)),"",MAX(B$28:B72)+1))</f>
        <v>3</v>
      </c>
      <c r="C73" s="106">
        <f t="shared" si="13"/>
        <v>43373</v>
      </c>
      <c r="D73" s="795">
        <f t="shared" si="8"/>
        <v>47928.660377575812</v>
      </c>
      <c r="E73" s="795">
        <f>IF($A73="","",IF($A73=1,D$29*$F73*($C73-$C$28)/$K$17,
(D73*ROUND(($C73-VLOOKUP($A73-1,$A$28:$C73,3,0))/30,0)/12*$F73)
))</f>
        <v>718.9299056636371</v>
      </c>
      <c r="F73" s="107">
        <f t="shared" si="9"/>
        <v>0.06</v>
      </c>
      <c r="G73" s="795">
        <f t="shared" si="5"/>
        <v>445.49670596127157</v>
      </c>
      <c r="H73" s="795">
        <f t="shared" si="10"/>
        <v>717.64705882352939</v>
      </c>
      <c r="I73" s="795">
        <f t="shared" si="11"/>
        <v>445.49670596127157</v>
      </c>
      <c r="J73" s="795">
        <f t="shared" si="12"/>
        <v>1164.4266116249087</v>
      </c>
      <c r="K73" s="108">
        <f t="shared" si="6"/>
        <v>2018</v>
      </c>
      <c r="L73" s="646" t="str">
        <f t="shared" si="7"/>
        <v/>
      </c>
      <c r="M73" s="79"/>
      <c r="N73" s="80"/>
      <c r="O73" s="79"/>
      <c r="P73" s="82"/>
      <c r="Q73" s="79"/>
      <c r="R73" s="79"/>
    </row>
    <row r="74" spans="1:18" ht="12.75" customHeight="1">
      <c r="A74" s="645" t="str">
        <f>IF(B74&lt;&gt;"",MAX(A$28:A73)+1,IF(ISNA(HLOOKUP(DATE(YEAR($C$21),MONTH(C74),DAY(C74)),$C$21:$N$21,1,0)),"",MAX(A$28:A73)+1))</f>
        <v/>
      </c>
      <c r="B74" s="91" t="str">
        <f>IF(C74&lt;$K$16,"",IF(ISNA(HLOOKUP(DATE(YEAR($C$20),MONTH($C74),DAY($C74)),$C$20:$N$20,1,0)),"",MAX(B$28:B73)+1))</f>
        <v/>
      </c>
      <c r="C74" s="106">
        <f t="shared" si="13"/>
        <v>43404</v>
      </c>
      <c r="D74" s="795">
        <f t="shared" si="8"/>
        <v>47483.163671614544</v>
      </c>
      <c r="E74" s="795" t="str">
        <f>IF($A74="","",IF($A74=1,D$29*$F74*($C74-$C$28)/$K$17,
(D74*ROUND(($C74-VLOOKUP($A74-1,$A$28:$C74,3,0))/30,0)/12*$F74)
))</f>
        <v/>
      </c>
      <c r="F74" s="107">
        <f t="shared" si="9"/>
        <v>0.06</v>
      </c>
      <c r="G74" s="795">
        <f t="shared" si="5"/>
        <v>0</v>
      </c>
      <c r="H74" s="795">
        <f t="shared" si="10"/>
        <v>0</v>
      </c>
      <c r="I74" s="795">
        <f t="shared" si="11"/>
        <v>0</v>
      </c>
      <c r="J74" s="795">
        <f t="shared" si="12"/>
        <v>0</v>
      </c>
      <c r="K74" s="108">
        <f t="shared" si="6"/>
        <v>2018</v>
      </c>
      <c r="L74" s="646" t="str">
        <f t="shared" si="7"/>
        <v/>
      </c>
      <c r="M74" s="79"/>
      <c r="N74" s="80"/>
      <c r="O74" s="79"/>
      <c r="P74" s="82"/>
      <c r="Q74" s="79"/>
      <c r="R74" s="79"/>
    </row>
    <row r="75" spans="1:18" ht="12.75" customHeight="1">
      <c r="A75" s="645" t="str">
        <f>IF(B75&lt;&gt;"",MAX(A$28:A74)+1,IF(ISNA(HLOOKUP(DATE(YEAR($C$21),MONTH(C75),DAY(C75)),$C$21:$N$21,1,0)),"",MAX(A$28:A74)+1))</f>
        <v/>
      </c>
      <c r="B75" s="91" t="str">
        <f>IF(C75&lt;$K$16,"",IF(ISNA(HLOOKUP(DATE(YEAR($C$20),MONTH($C75),DAY($C75)),$C$20:$N$20,1,0)),"",MAX(B$28:B74)+1))</f>
        <v/>
      </c>
      <c r="C75" s="106">
        <f t="shared" si="13"/>
        <v>43434</v>
      </c>
      <c r="D75" s="795">
        <f t="shared" si="8"/>
        <v>47483.163671614544</v>
      </c>
      <c r="E75" s="795" t="str">
        <f>IF($A75="","",IF($A75=1,D$29*$F75*($C75-$C$28)/$K$17,
(D75*ROUND(($C75-VLOOKUP($A75-1,$A$28:$C75,3,0))/30,0)/12*$F75)
))</f>
        <v/>
      </c>
      <c r="F75" s="107">
        <f t="shared" si="9"/>
        <v>0.06</v>
      </c>
      <c r="G75" s="795">
        <f t="shared" si="5"/>
        <v>0</v>
      </c>
      <c r="H75" s="795">
        <f t="shared" si="10"/>
        <v>0</v>
      </c>
      <c r="I75" s="795">
        <f t="shared" si="11"/>
        <v>0</v>
      </c>
      <c r="J75" s="795">
        <f t="shared" si="12"/>
        <v>0</v>
      </c>
      <c r="K75" s="108">
        <f t="shared" si="6"/>
        <v>2018</v>
      </c>
      <c r="L75" s="646" t="str">
        <f t="shared" si="7"/>
        <v/>
      </c>
      <c r="M75" s="79"/>
      <c r="N75" s="80"/>
      <c r="O75" s="79"/>
      <c r="P75" s="82"/>
      <c r="Q75" s="79"/>
      <c r="R75" s="79"/>
    </row>
    <row r="76" spans="1:18" ht="12.75" customHeight="1">
      <c r="A76" s="645">
        <f>IF(B76&lt;&gt;"",MAX(A$28:A75)+1,IF(ISNA(HLOOKUP(DATE(YEAR($C$21),MONTH(C76),DAY(C76)),$C$21:$N$21,1,0)),"",MAX(A$28:A75)+1))</f>
        <v>16</v>
      </c>
      <c r="B76" s="91">
        <f>IF(C76&lt;$K$16,"",IF(ISNA(HLOOKUP(DATE(YEAR($C$20),MONTH($C76),DAY($C76)),$C$20:$N$20,1,0)),"",MAX(B$28:B75)+1))</f>
        <v>4</v>
      </c>
      <c r="C76" s="106">
        <f t="shared" si="13"/>
        <v>43465</v>
      </c>
      <c r="D76" s="795">
        <f t="shared" si="8"/>
        <v>47483.163671614544</v>
      </c>
      <c r="E76" s="795">
        <f>IF($A76="","",IF($A76=1,D$29*$F76*($C76-$C$28)/$K$17,
(D76*ROUND(($C76-VLOOKUP($A76-1,$A$28:$C76,3,0))/30,0)/12*$F76)
))</f>
        <v>712.24745507421812</v>
      </c>
      <c r="F76" s="107">
        <f t="shared" si="9"/>
        <v>0.06</v>
      </c>
      <c r="G76" s="795">
        <f t="shared" si="5"/>
        <v>452.17915655069055</v>
      </c>
      <c r="H76" s="795">
        <f t="shared" si="10"/>
        <v>717.64705882352939</v>
      </c>
      <c r="I76" s="795">
        <f t="shared" si="11"/>
        <v>452.17915655069055</v>
      </c>
      <c r="J76" s="795">
        <f t="shared" si="12"/>
        <v>1164.4266116249087</v>
      </c>
      <c r="K76" s="108">
        <f t="shared" si="6"/>
        <v>2018</v>
      </c>
      <c r="L76" s="646" t="str">
        <f t="shared" si="7"/>
        <v/>
      </c>
      <c r="M76" s="79"/>
      <c r="N76" s="80"/>
      <c r="O76" s="79"/>
      <c r="P76" s="82"/>
      <c r="Q76" s="79"/>
      <c r="R76" s="79"/>
    </row>
    <row r="77" spans="1:18" ht="12.75" customHeight="1">
      <c r="A77" s="645" t="str">
        <f>IF(B77&lt;&gt;"",MAX(A$28:A76)+1,IF(ISNA(HLOOKUP(DATE(YEAR($C$21),MONTH(C77),DAY(C77)),$C$21:$N$21,1,0)),"",MAX(A$28:A76)+1))</f>
        <v/>
      </c>
      <c r="B77" s="91" t="str">
        <f>IF(C77&lt;$K$16,"",IF(ISNA(HLOOKUP(DATE(YEAR($C$20),MONTH($C77),DAY($C77)),$C$20:$N$20,1,0)),"",MAX(B$28:B76)+1))</f>
        <v/>
      </c>
      <c r="C77" s="106">
        <f t="shared" si="13"/>
        <v>43496</v>
      </c>
      <c r="D77" s="795">
        <f t="shared" si="8"/>
        <v>47030.98451506385</v>
      </c>
      <c r="E77" s="795" t="str">
        <f>IF($A77="","",IF($A77=1,D$29*$F77*($C77-$C$28)/$K$17,
(D77*ROUND(($C77-VLOOKUP($A77-1,$A$28:$C77,3,0))/30,0)/12*$F77)
))</f>
        <v/>
      </c>
      <c r="F77" s="107">
        <f t="shared" si="9"/>
        <v>0.06</v>
      </c>
      <c r="G77" s="795">
        <f t="shared" si="5"/>
        <v>0</v>
      </c>
      <c r="H77" s="795">
        <f t="shared" si="10"/>
        <v>0</v>
      </c>
      <c r="I77" s="795">
        <f t="shared" si="11"/>
        <v>0</v>
      </c>
      <c r="J77" s="795">
        <f t="shared" si="12"/>
        <v>0</v>
      </c>
      <c r="K77" s="108">
        <f t="shared" si="6"/>
        <v>2019</v>
      </c>
      <c r="L77" s="646" t="str">
        <f t="shared" si="7"/>
        <v/>
      </c>
      <c r="M77" s="79"/>
      <c r="N77" s="80"/>
      <c r="O77" s="79"/>
      <c r="P77" s="82"/>
      <c r="Q77" s="79"/>
      <c r="R77" s="79"/>
    </row>
    <row r="78" spans="1:18" ht="12.75" customHeight="1">
      <c r="A78" s="645" t="str">
        <f>IF(B78&lt;&gt;"",MAX(A$28:A77)+1,IF(ISNA(HLOOKUP(DATE(YEAR($C$21),MONTH(C78),DAY(C78)),$C$21:$N$21,1,0)),"",MAX(A$28:A77)+1))</f>
        <v/>
      </c>
      <c r="B78" s="91" t="str">
        <f>IF(C78&lt;$K$16,"",IF(ISNA(HLOOKUP(DATE(YEAR($C$20),MONTH($C78),DAY($C78)),$C$20:$N$20,1,0)),"",MAX(B$28:B77)+1))</f>
        <v/>
      </c>
      <c r="C78" s="106">
        <f t="shared" si="13"/>
        <v>43524</v>
      </c>
      <c r="D78" s="795">
        <f t="shared" si="8"/>
        <v>47030.98451506385</v>
      </c>
      <c r="E78" s="795" t="str">
        <f>IF($A78="","",IF($A78=1,D$29*$F78*($C78-$C$28)/$K$17,
(D78*ROUND(($C78-VLOOKUP($A78-1,$A$28:$C78,3,0))/30,0)/12*$F78)
))</f>
        <v/>
      </c>
      <c r="F78" s="107">
        <f t="shared" si="9"/>
        <v>0.06</v>
      </c>
      <c r="G78" s="795">
        <f t="shared" si="5"/>
        <v>0</v>
      </c>
      <c r="H78" s="795">
        <f t="shared" si="10"/>
        <v>0</v>
      </c>
      <c r="I78" s="795">
        <f t="shared" si="11"/>
        <v>0</v>
      </c>
      <c r="J78" s="795">
        <f t="shared" si="12"/>
        <v>0</v>
      </c>
      <c r="K78" s="108">
        <f t="shared" si="6"/>
        <v>2019</v>
      </c>
      <c r="L78" s="646" t="str">
        <f t="shared" si="7"/>
        <v/>
      </c>
      <c r="M78" s="79"/>
      <c r="N78" s="80"/>
      <c r="O78" s="79"/>
      <c r="P78" s="82"/>
      <c r="Q78" s="79"/>
      <c r="R78" s="79"/>
    </row>
    <row r="79" spans="1:18" ht="12.75" customHeight="1">
      <c r="A79" s="645">
        <f>IF(B79&lt;&gt;"",MAX(A$28:A78)+1,IF(ISNA(HLOOKUP(DATE(YEAR($C$21),MONTH(C79),DAY(C79)),$C$21:$N$21,1,0)),"",MAX(A$28:A78)+1))</f>
        <v>17</v>
      </c>
      <c r="B79" s="91">
        <f>IF(C79&lt;$K$16,"",IF(ISNA(HLOOKUP(DATE(YEAR($C$20),MONTH($C79),DAY($C79)),$C$20:$N$20,1,0)),"",MAX(B$28:B78)+1))</f>
        <v>5</v>
      </c>
      <c r="C79" s="106">
        <f t="shared" si="13"/>
        <v>43555</v>
      </c>
      <c r="D79" s="795">
        <f t="shared" si="8"/>
        <v>47030.98451506385</v>
      </c>
      <c r="E79" s="795">
        <f>IF($A79="","",IF($A79=1,D$29*$F79*($C79-$C$28)/$K$17,
(D79*ROUND(($C79-VLOOKUP($A79-1,$A$28:$C79,3,0))/30,0)/12*$F79)
))</f>
        <v>705.4647677259577</v>
      </c>
      <c r="F79" s="107">
        <f t="shared" si="9"/>
        <v>0.06</v>
      </c>
      <c r="G79" s="795">
        <f t="shared" si="5"/>
        <v>458.96184389895097</v>
      </c>
      <c r="H79" s="795">
        <f t="shared" si="10"/>
        <v>717.64705882352939</v>
      </c>
      <c r="I79" s="795">
        <f t="shared" si="11"/>
        <v>458.96184389895097</v>
      </c>
      <c r="J79" s="795">
        <f t="shared" si="12"/>
        <v>1164.4266116249087</v>
      </c>
      <c r="K79" s="108">
        <f t="shared" si="6"/>
        <v>2019</v>
      </c>
      <c r="L79" s="646" t="str">
        <f t="shared" si="7"/>
        <v/>
      </c>
      <c r="M79" s="79"/>
      <c r="N79" s="80"/>
      <c r="O79" s="79"/>
      <c r="P79" s="82"/>
      <c r="Q79" s="79"/>
      <c r="R79" s="79"/>
    </row>
    <row r="80" spans="1:18" ht="12.75" customHeight="1">
      <c r="A80" s="645" t="str">
        <f>IF(B80&lt;&gt;"",MAX(A$28:A79)+1,IF(ISNA(HLOOKUP(DATE(YEAR($C$21),MONTH(C80),DAY(C80)),$C$21:$N$21,1,0)),"",MAX(A$28:A79)+1))</f>
        <v/>
      </c>
      <c r="B80" s="91" t="str">
        <f>IF(C80&lt;$K$16,"",IF(ISNA(HLOOKUP(DATE(YEAR($C$20),MONTH($C80),DAY($C80)),$C$20:$N$20,1,0)),"",MAX(B$28:B79)+1))</f>
        <v/>
      </c>
      <c r="C80" s="106">
        <f t="shared" si="13"/>
        <v>43585</v>
      </c>
      <c r="D80" s="795">
        <f t="shared" si="8"/>
        <v>46572.022671164901</v>
      </c>
      <c r="E80" s="795" t="str">
        <f>IF($A80="","",IF($A80=1,D$29*$F80*($C80-$C$28)/$K$17,
(D80*ROUND(($C80-VLOOKUP($A80-1,$A$28:$C80,3,0))/30,0)/12*$F80)
))</f>
        <v/>
      </c>
      <c r="F80" s="107">
        <f t="shared" si="9"/>
        <v>0.06</v>
      </c>
      <c r="G80" s="795">
        <f t="shared" si="5"/>
        <v>0</v>
      </c>
      <c r="H80" s="795">
        <f t="shared" si="10"/>
        <v>0</v>
      </c>
      <c r="I80" s="795">
        <f t="shared" si="11"/>
        <v>0</v>
      </c>
      <c r="J80" s="795">
        <f t="shared" si="12"/>
        <v>0</v>
      </c>
      <c r="K80" s="108">
        <f t="shared" si="6"/>
        <v>2019</v>
      </c>
      <c r="L80" s="646" t="str">
        <f t="shared" si="7"/>
        <v/>
      </c>
      <c r="M80" s="79"/>
      <c r="N80" s="80"/>
      <c r="O80" s="79"/>
      <c r="P80" s="82"/>
      <c r="Q80" s="79"/>
      <c r="R80" s="79"/>
    </row>
    <row r="81" spans="1:18" ht="12.75" customHeight="1">
      <c r="A81" s="645" t="str">
        <f>IF(B81&lt;&gt;"",MAX(A$28:A80)+1,IF(ISNA(HLOOKUP(DATE(YEAR($C$21),MONTH(C81),DAY(C81)),$C$21:$N$21,1,0)),"",MAX(A$28:A80)+1))</f>
        <v/>
      </c>
      <c r="B81" s="91" t="str">
        <f>IF(C81&lt;$K$16,"",IF(ISNA(HLOOKUP(DATE(YEAR($C$20),MONTH($C81),DAY($C81)),$C$20:$N$20,1,0)),"",MAX(B$28:B80)+1))</f>
        <v/>
      </c>
      <c r="C81" s="106">
        <f t="shared" si="13"/>
        <v>43616</v>
      </c>
      <c r="D81" s="795">
        <f t="shared" si="8"/>
        <v>46572.022671164901</v>
      </c>
      <c r="E81" s="795" t="str">
        <f>IF($A81="","",IF($A81=1,D$29*$F81*($C81-$C$28)/$K$17,
(D81*ROUND(($C81-VLOOKUP($A81-1,$A$28:$C81,3,0))/30,0)/12*$F81)
))</f>
        <v/>
      </c>
      <c r="F81" s="107">
        <f t="shared" si="9"/>
        <v>0.06</v>
      </c>
      <c r="G81" s="795">
        <f t="shared" si="5"/>
        <v>0</v>
      </c>
      <c r="H81" s="795">
        <f t="shared" si="10"/>
        <v>0</v>
      </c>
      <c r="I81" s="795">
        <f t="shared" si="11"/>
        <v>0</v>
      </c>
      <c r="J81" s="795">
        <f t="shared" si="12"/>
        <v>0</v>
      </c>
      <c r="K81" s="108">
        <f t="shared" si="6"/>
        <v>2019</v>
      </c>
      <c r="L81" s="646" t="str">
        <f t="shared" si="7"/>
        <v/>
      </c>
      <c r="M81" s="79"/>
      <c r="N81" s="80"/>
      <c r="O81" s="79"/>
      <c r="P81" s="82"/>
      <c r="Q81" s="79"/>
      <c r="R81" s="79"/>
    </row>
    <row r="82" spans="1:18" ht="12.75" customHeight="1">
      <c r="A82" s="645">
        <f>IF(B82&lt;&gt;"",MAX(A$28:A81)+1,IF(ISNA(HLOOKUP(DATE(YEAR($C$21),MONTH(C82),DAY(C82)),$C$21:$N$21,1,0)),"",MAX(A$28:A81)+1))</f>
        <v>18</v>
      </c>
      <c r="B82" s="91">
        <f>IF(C82&lt;$K$16,"",IF(ISNA(HLOOKUP(DATE(YEAR($C$20),MONTH($C82),DAY($C82)),$C$20:$N$20,1,0)),"",MAX(B$28:B81)+1))</f>
        <v>6</v>
      </c>
      <c r="C82" s="106">
        <f t="shared" si="13"/>
        <v>43646</v>
      </c>
      <c r="D82" s="795">
        <f t="shared" si="8"/>
        <v>46572.022671164901</v>
      </c>
      <c r="E82" s="795">
        <f>IF($A82="","",IF($A82=1,D$29*$F82*($C82-$C$28)/$K$17,
(D82*ROUND(($C82-VLOOKUP($A82-1,$A$28:$C82,3,0))/30,0)/12*$F82)
))</f>
        <v>698.58034006747357</v>
      </c>
      <c r="F82" s="107">
        <f t="shared" si="9"/>
        <v>0.06</v>
      </c>
      <c r="G82" s="795">
        <f t="shared" si="5"/>
        <v>465.8462715574351</v>
      </c>
      <c r="H82" s="795">
        <f t="shared" si="10"/>
        <v>717.64705882352939</v>
      </c>
      <c r="I82" s="795">
        <f t="shared" si="11"/>
        <v>465.8462715574351</v>
      </c>
      <c r="J82" s="795">
        <f t="shared" si="12"/>
        <v>1164.4266116249087</v>
      </c>
      <c r="K82" s="108">
        <f t="shared" si="6"/>
        <v>2019</v>
      </c>
      <c r="L82" s="646" t="str">
        <f t="shared" si="7"/>
        <v/>
      </c>
      <c r="M82" s="79"/>
      <c r="N82" s="80"/>
      <c r="O82" s="79"/>
      <c r="P82" s="82"/>
      <c r="Q82" s="79"/>
      <c r="R82" s="79"/>
    </row>
    <row r="83" spans="1:18" ht="12.75" customHeight="1">
      <c r="A83" s="645" t="str">
        <f>IF(B83&lt;&gt;"",MAX(A$28:A82)+1,IF(ISNA(HLOOKUP(DATE(YEAR($C$21),MONTH(C83),DAY(C83)),$C$21:$N$21,1,0)),"",MAX(A$28:A82)+1))</f>
        <v/>
      </c>
      <c r="B83" s="91" t="str">
        <f>IF(C83&lt;$K$16,"",IF(ISNA(HLOOKUP(DATE(YEAR($C$20),MONTH($C83),DAY($C83)),$C$20:$N$20,1,0)),"",MAX(B$28:B82)+1))</f>
        <v/>
      </c>
      <c r="C83" s="106">
        <f t="shared" si="13"/>
        <v>43677</v>
      </c>
      <c r="D83" s="795">
        <f t="shared" si="8"/>
        <v>46106.176399607466</v>
      </c>
      <c r="E83" s="795" t="str">
        <f>IF($A83="","",IF($A83=1,D$29*$F83*($C83-$C$28)/$K$17,
(D83*ROUND(($C83-VLOOKUP($A83-1,$A$28:$C83,3,0))/30,0)/12*$F83)
))</f>
        <v/>
      </c>
      <c r="F83" s="107">
        <f t="shared" si="9"/>
        <v>0.06</v>
      </c>
      <c r="G83" s="795">
        <f t="shared" si="5"/>
        <v>0</v>
      </c>
      <c r="H83" s="795">
        <f t="shared" si="10"/>
        <v>0</v>
      </c>
      <c r="I83" s="795">
        <f t="shared" si="11"/>
        <v>0</v>
      </c>
      <c r="J83" s="795">
        <f t="shared" si="12"/>
        <v>0</v>
      </c>
      <c r="K83" s="108">
        <f t="shared" si="6"/>
        <v>2019</v>
      </c>
      <c r="L83" s="646" t="str">
        <f t="shared" si="7"/>
        <v/>
      </c>
      <c r="M83" s="79"/>
      <c r="N83" s="80"/>
      <c r="O83" s="79"/>
      <c r="P83" s="82"/>
      <c r="Q83" s="79"/>
      <c r="R83" s="79"/>
    </row>
    <row r="84" spans="1:18" ht="12.75" customHeight="1">
      <c r="A84" s="645" t="str">
        <f>IF(B84&lt;&gt;"",MAX(A$28:A83)+1,IF(ISNA(HLOOKUP(DATE(YEAR($C$21),MONTH(C84),DAY(C84)),$C$21:$N$21,1,0)),"",MAX(A$28:A83)+1))</f>
        <v/>
      </c>
      <c r="B84" s="91" t="str">
        <f>IF(C84&lt;$K$16,"",IF(ISNA(HLOOKUP(DATE(YEAR($C$20),MONTH($C84),DAY($C84)),$C$20:$N$20,1,0)),"",MAX(B$28:B83)+1))</f>
        <v/>
      </c>
      <c r="C84" s="106">
        <f t="shared" si="13"/>
        <v>43708</v>
      </c>
      <c r="D84" s="795">
        <f t="shared" si="8"/>
        <v>46106.176399607466</v>
      </c>
      <c r="E84" s="795" t="str">
        <f>IF($A84="","",IF($A84=1,D$29*$F84*($C84-$C$28)/$K$17,
(D84*ROUND(($C84-VLOOKUP($A84-1,$A$28:$C84,3,0))/30,0)/12*$F84)
))</f>
        <v/>
      </c>
      <c r="F84" s="107">
        <f t="shared" si="9"/>
        <v>0.06</v>
      </c>
      <c r="G84" s="795">
        <f t="shared" si="5"/>
        <v>0</v>
      </c>
      <c r="H84" s="795">
        <f t="shared" si="10"/>
        <v>0</v>
      </c>
      <c r="I84" s="795">
        <f t="shared" si="11"/>
        <v>0</v>
      </c>
      <c r="J84" s="795">
        <f t="shared" si="12"/>
        <v>0</v>
      </c>
      <c r="K84" s="108">
        <f t="shared" si="6"/>
        <v>2019</v>
      </c>
      <c r="L84" s="646" t="str">
        <f t="shared" si="7"/>
        <v/>
      </c>
      <c r="M84" s="79"/>
      <c r="N84" s="80"/>
      <c r="O84" s="79"/>
      <c r="P84" s="82"/>
      <c r="Q84" s="79"/>
      <c r="R84" s="79"/>
    </row>
    <row r="85" spans="1:18" ht="12.75" customHeight="1">
      <c r="A85" s="645">
        <f>IF(B85&lt;&gt;"",MAX(A$28:A84)+1,IF(ISNA(HLOOKUP(DATE(YEAR($C$21),MONTH(C85),DAY(C85)),$C$21:$N$21,1,0)),"",MAX(A$28:A84)+1))</f>
        <v>19</v>
      </c>
      <c r="B85" s="91">
        <f>IF(C85&lt;$K$16,"",IF(ISNA(HLOOKUP(DATE(YEAR($C$20),MONTH($C85),DAY($C85)),$C$20:$N$20,1,0)),"",MAX(B$28:B84)+1))</f>
        <v>7</v>
      </c>
      <c r="C85" s="106">
        <f t="shared" si="13"/>
        <v>43738</v>
      </c>
      <c r="D85" s="795">
        <f t="shared" si="8"/>
        <v>46106.176399607466</v>
      </c>
      <c r="E85" s="795">
        <f>IF($A85="","",IF($A85=1,D$29*$F85*($C85-$C$28)/$K$17,
(D85*ROUND(($C85-VLOOKUP($A85-1,$A$28:$C85,3,0))/30,0)/12*$F85)
))</f>
        <v>691.59264599411199</v>
      </c>
      <c r="F85" s="107">
        <f t="shared" si="9"/>
        <v>0.06</v>
      </c>
      <c r="G85" s="795">
        <f t="shared" si="5"/>
        <v>472.83396563079668</v>
      </c>
      <c r="H85" s="795">
        <f t="shared" si="10"/>
        <v>717.64705882352939</v>
      </c>
      <c r="I85" s="795">
        <f t="shared" si="11"/>
        <v>472.83396563079668</v>
      </c>
      <c r="J85" s="795">
        <f t="shared" si="12"/>
        <v>1164.4266116249087</v>
      </c>
      <c r="K85" s="108">
        <f t="shared" si="6"/>
        <v>2019</v>
      </c>
      <c r="L85" s="646" t="str">
        <f t="shared" si="7"/>
        <v/>
      </c>
      <c r="M85" s="79"/>
      <c r="N85" s="80"/>
      <c r="O85" s="79"/>
      <c r="P85" s="82"/>
      <c r="Q85" s="79"/>
      <c r="R85" s="79"/>
    </row>
    <row r="86" spans="1:18" ht="12.75" customHeight="1">
      <c r="A86" s="645" t="str">
        <f>IF(B86&lt;&gt;"",MAX(A$28:A85)+1,IF(ISNA(HLOOKUP(DATE(YEAR($C$21),MONTH(C86),DAY(C86)),$C$21:$N$21,1,0)),"",MAX(A$28:A85)+1))</f>
        <v/>
      </c>
      <c r="B86" s="91" t="str">
        <f>IF(C86&lt;$K$16,"",IF(ISNA(HLOOKUP(DATE(YEAR($C$20),MONTH($C86),DAY($C86)),$C$20:$N$20,1,0)),"",MAX(B$28:B85)+1))</f>
        <v/>
      </c>
      <c r="C86" s="106">
        <f t="shared" si="13"/>
        <v>43769</v>
      </c>
      <c r="D86" s="795">
        <f t="shared" si="8"/>
        <v>45633.342433976672</v>
      </c>
      <c r="E86" s="795" t="str">
        <f>IF($A86="","",IF($A86=1,D$29*$F86*($C86-$C$28)/$K$17,
(D86*ROUND(($C86-VLOOKUP($A86-1,$A$28:$C86,3,0))/30,0)/12*$F86)
))</f>
        <v/>
      </c>
      <c r="F86" s="107">
        <f t="shared" si="9"/>
        <v>0.06</v>
      </c>
      <c r="G86" s="795">
        <f t="shared" si="5"/>
        <v>0</v>
      </c>
      <c r="H86" s="795">
        <f t="shared" si="10"/>
        <v>0</v>
      </c>
      <c r="I86" s="795">
        <f t="shared" si="11"/>
        <v>0</v>
      </c>
      <c r="J86" s="795">
        <f t="shared" si="12"/>
        <v>0</v>
      </c>
      <c r="K86" s="108">
        <f t="shared" si="6"/>
        <v>2019</v>
      </c>
      <c r="L86" s="646" t="str">
        <f t="shared" si="7"/>
        <v/>
      </c>
      <c r="M86" s="79"/>
      <c r="N86" s="80"/>
      <c r="O86" s="79"/>
      <c r="P86" s="82"/>
      <c r="Q86" s="79"/>
      <c r="R86" s="79"/>
    </row>
    <row r="87" spans="1:18" ht="12.75" customHeight="1">
      <c r="A87" s="645" t="str">
        <f>IF(B87&lt;&gt;"",MAX(A$28:A86)+1,IF(ISNA(HLOOKUP(DATE(YEAR($C$21),MONTH(C87),DAY(C87)),$C$21:$N$21,1,0)),"",MAX(A$28:A86)+1))</f>
        <v/>
      </c>
      <c r="B87" s="91" t="str">
        <f>IF(C87&lt;$K$16,"",IF(ISNA(HLOOKUP(DATE(YEAR($C$20),MONTH($C87),DAY($C87)),$C$20:$N$20,1,0)),"",MAX(B$28:B86)+1))</f>
        <v/>
      </c>
      <c r="C87" s="106">
        <f t="shared" si="13"/>
        <v>43799</v>
      </c>
      <c r="D87" s="795">
        <f t="shared" si="8"/>
        <v>45633.342433976672</v>
      </c>
      <c r="E87" s="795" t="str">
        <f>IF($A87="","",IF($A87=1,D$29*$F87*($C87-$C$28)/$K$17,
(D87*ROUND(($C87-VLOOKUP($A87-1,$A$28:$C87,3,0))/30,0)/12*$F87)
))</f>
        <v/>
      </c>
      <c r="F87" s="107">
        <f t="shared" si="9"/>
        <v>0.06</v>
      </c>
      <c r="G87" s="795">
        <f t="shared" si="5"/>
        <v>0</v>
      </c>
      <c r="H87" s="795">
        <f t="shared" si="10"/>
        <v>0</v>
      </c>
      <c r="I87" s="795">
        <f t="shared" si="11"/>
        <v>0</v>
      </c>
      <c r="J87" s="795">
        <f t="shared" si="12"/>
        <v>0</v>
      </c>
      <c r="K87" s="108">
        <f t="shared" si="6"/>
        <v>2019</v>
      </c>
      <c r="L87" s="646" t="str">
        <f t="shared" si="7"/>
        <v/>
      </c>
      <c r="M87" s="79"/>
      <c r="N87" s="80"/>
      <c r="O87" s="79"/>
      <c r="P87" s="82"/>
      <c r="Q87" s="79"/>
      <c r="R87" s="79"/>
    </row>
    <row r="88" spans="1:18" ht="12.75" customHeight="1">
      <c r="A88" s="645">
        <f>IF(B88&lt;&gt;"",MAX(A$28:A87)+1,IF(ISNA(HLOOKUP(DATE(YEAR($C$21),MONTH(C88),DAY(C88)),$C$21:$N$21,1,0)),"",MAX(A$28:A87)+1))</f>
        <v>20</v>
      </c>
      <c r="B88" s="91">
        <f>IF(C88&lt;$K$16,"",IF(ISNA(HLOOKUP(DATE(YEAR($C$20),MONTH($C88),DAY($C88)),$C$20:$N$20,1,0)),"",MAX(B$28:B87)+1))</f>
        <v>8</v>
      </c>
      <c r="C88" s="106">
        <f t="shared" si="13"/>
        <v>43830</v>
      </c>
      <c r="D88" s="795">
        <f t="shared" si="8"/>
        <v>45633.342433976672</v>
      </c>
      <c r="E88" s="795">
        <f>IF($A88="","",IF($A88=1,D$29*$F88*($C88-$C$28)/$K$17,
(D88*ROUND(($C88-VLOOKUP($A88-1,$A$28:$C88,3,0))/30,0)/12*$F88)
))</f>
        <v>684.50013650965002</v>
      </c>
      <c r="F88" s="107">
        <f t="shared" si="9"/>
        <v>0.06</v>
      </c>
      <c r="G88" s="795">
        <f t="shared" si="5"/>
        <v>479.92647511525865</v>
      </c>
      <c r="H88" s="795">
        <f t="shared" si="10"/>
        <v>717.64705882352939</v>
      </c>
      <c r="I88" s="795">
        <f t="shared" si="11"/>
        <v>479.92647511525865</v>
      </c>
      <c r="J88" s="795">
        <f t="shared" si="12"/>
        <v>1164.4266116249087</v>
      </c>
      <c r="K88" s="108">
        <f t="shared" si="6"/>
        <v>2019</v>
      </c>
      <c r="L88" s="646" t="str">
        <f t="shared" si="7"/>
        <v/>
      </c>
      <c r="M88" s="79"/>
      <c r="N88" s="80"/>
      <c r="O88" s="79"/>
      <c r="P88" s="82"/>
      <c r="Q88" s="79"/>
      <c r="R88" s="79"/>
    </row>
    <row r="89" spans="1:18" ht="12.75" customHeight="1">
      <c r="A89" s="645" t="str">
        <f>IF(B89&lt;&gt;"",MAX(A$28:A88)+1,IF(ISNA(HLOOKUP(DATE(YEAR($C$21),MONTH(C89),DAY(C89)),$C$21:$N$21,1,0)),"",MAX(A$28:A88)+1))</f>
        <v/>
      </c>
      <c r="B89" s="91" t="str">
        <f>IF(C89&lt;$K$16,"",IF(ISNA(HLOOKUP(DATE(YEAR($C$20),MONTH($C89),DAY($C89)),$C$20:$N$20,1,0)),"",MAX(B$28:B88)+1))</f>
        <v/>
      </c>
      <c r="C89" s="106">
        <f t="shared" si="13"/>
        <v>43861</v>
      </c>
      <c r="D89" s="795">
        <f t="shared" si="8"/>
        <v>45153.415958861413</v>
      </c>
      <c r="E89" s="795" t="str">
        <f>IF($A89="","",IF($A89=1,D$29*$F89*($C89-$C$28)/$K$17,
(D89*ROUND(($C89-VLOOKUP($A89-1,$A$28:$C89,3,0))/30,0)/12*$F89)
))</f>
        <v/>
      </c>
      <c r="F89" s="107">
        <f t="shared" si="9"/>
        <v>0.06</v>
      </c>
      <c r="G89" s="795">
        <f t="shared" si="5"/>
        <v>0</v>
      </c>
      <c r="H89" s="795">
        <f t="shared" si="10"/>
        <v>0</v>
      </c>
      <c r="I89" s="795">
        <f t="shared" si="11"/>
        <v>0</v>
      </c>
      <c r="J89" s="795">
        <f t="shared" si="12"/>
        <v>0</v>
      </c>
      <c r="K89" s="108">
        <f t="shared" si="6"/>
        <v>2020</v>
      </c>
      <c r="L89" s="646" t="str">
        <f t="shared" si="7"/>
        <v/>
      </c>
      <c r="M89" s="79"/>
      <c r="N89" s="80"/>
      <c r="O89" s="79"/>
      <c r="P89" s="82"/>
      <c r="Q89" s="79"/>
      <c r="R89" s="79"/>
    </row>
    <row r="90" spans="1:18" ht="12.75" customHeight="1">
      <c r="A90" s="645" t="str">
        <f>IF(B90&lt;&gt;"",MAX(A$28:A89)+1,IF(ISNA(HLOOKUP(DATE(YEAR($C$21),MONTH(C90),DAY(C90)),$C$21:$N$21,1,0)),"",MAX(A$28:A89)+1))</f>
        <v/>
      </c>
      <c r="B90" s="91" t="str">
        <f>IF(C90&lt;$K$16,"",IF(ISNA(HLOOKUP(DATE(YEAR($C$20),MONTH($C90),DAY($C90)),$C$20:$N$20,1,0)),"",MAX(B$28:B89)+1))</f>
        <v/>
      </c>
      <c r="C90" s="106">
        <f t="shared" si="13"/>
        <v>43890</v>
      </c>
      <c r="D90" s="795">
        <f t="shared" si="8"/>
        <v>45153.415958861413</v>
      </c>
      <c r="E90" s="795" t="str">
        <f>IF($A90="","",IF($A90=1,D$29*$F90*($C90-$C$28)/$K$17,
(D90*ROUND(($C90-VLOOKUP($A90-1,$A$28:$C90,3,0))/30,0)/12*$F90)
))</f>
        <v/>
      </c>
      <c r="F90" s="107">
        <f t="shared" si="9"/>
        <v>0.06</v>
      </c>
      <c r="G90" s="795">
        <f t="shared" si="5"/>
        <v>0</v>
      </c>
      <c r="H90" s="795">
        <f t="shared" si="10"/>
        <v>0</v>
      </c>
      <c r="I90" s="795">
        <f t="shared" si="11"/>
        <v>0</v>
      </c>
      <c r="J90" s="795">
        <f t="shared" si="12"/>
        <v>0</v>
      </c>
      <c r="K90" s="108">
        <f t="shared" si="6"/>
        <v>2020</v>
      </c>
      <c r="L90" s="646" t="str">
        <f t="shared" si="7"/>
        <v/>
      </c>
      <c r="M90" s="79"/>
      <c r="N90" s="80"/>
      <c r="O90" s="79"/>
      <c r="P90" s="82"/>
      <c r="Q90" s="79"/>
      <c r="R90" s="79"/>
    </row>
    <row r="91" spans="1:18" ht="12.75" customHeight="1">
      <c r="A91" s="645">
        <f>IF(B91&lt;&gt;"",MAX(A$28:A90)+1,IF(ISNA(HLOOKUP(DATE(YEAR($C$21),MONTH(C91),DAY(C91)),$C$21:$N$21,1,0)),"",MAX(A$28:A90)+1))</f>
        <v>21</v>
      </c>
      <c r="B91" s="91">
        <f>IF(C91&lt;$K$16,"",IF(ISNA(HLOOKUP(DATE(YEAR($C$20),MONTH($C91),DAY($C91)),$C$20:$N$20,1,0)),"",MAX(B$28:B90)+1))</f>
        <v>9</v>
      </c>
      <c r="C91" s="106">
        <f t="shared" si="13"/>
        <v>43921</v>
      </c>
      <c r="D91" s="795">
        <f t="shared" si="8"/>
        <v>45153.415958861413</v>
      </c>
      <c r="E91" s="795">
        <f>IF($A91="","",IF($A91=1,D$29*$F91*($C91-$C$28)/$K$17,
(D91*ROUND(($C91-VLOOKUP($A91-1,$A$28:$C91,3,0))/30,0)/12*$F91)
))</f>
        <v>677.30123938292115</v>
      </c>
      <c r="F91" s="107">
        <f t="shared" si="9"/>
        <v>0.06</v>
      </c>
      <c r="G91" s="795">
        <f t="shared" si="5"/>
        <v>487.12537224198752</v>
      </c>
      <c r="H91" s="795">
        <f t="shared" si="10"/>
        <v>717.64705882352939</v>
      </c>
      <c r="I91" s="795">
        <f t="shared" si="11"/>
        <v>487.12537224198752</v>
      </c>
      <c r="J91" s="795">
        <f t="shared" si="12"/>
        <v>1164.4266116249087</v>
      </c>
      <c r="K91" s="108">
        <f t="shared" si="6"/>
        <v>2020</v>
      </c>
      <c r="L91" s="646" t="str">
        <f t="shared" si="7"/>
        <v/>
      </c>
      <c r="M91" s="79"/>
      <c r="N91" s="80"/>
      <c r="O91" s="79"/>
      <c r="P91" s="82"/>
      <c r="Q91" s="79"/>
      <c r="R91" s="79"/>
    </row>
    <row r="92" spans="1:18" ht="12.75" customHeight="1">
      <c r="A92" s="645" t="str">
        <f>IF(B92&lt;&gt;"",MAX(A$28:A91)+1,IF(ISNA(HLOOKUP(DATE(YEAR($C$21),MONTH(C92),DAY(C92)),$C$21:$N$21,1,0)),"",MAX(A$28:A91)+1))</f>
        <v/>
      </c>
      <c r="B92" s="91" t="str">
        <f>IF(C92&lt;$K$16,"",IF(ISNA(HLOOKUP(DATE(YEAR($C$20),MONTH($C92),DAY($C92)),$C$20:$N$20,1,0)),"",MAX(B$28:B91)+1))</f>
        <v/>
      </c>
      <c r="C92" s="106">
        <f t="shared" si="13"/>
        <v>43951</v>
      </c>
      <c r="D92" s="795">
        <f t="shared" si="8"/>
        <v>44666.290586619427</v>
      </c>
      <c r="E92" s="795" t="str">
        <f>IF($A92="","",IF($A92=1,D$29*$F92*($C92-$C$28)/$K$17,
(D92*ROUND(($C92-VLOOKUP($A92-1,$A$28:$C92,3,0))/30,0)/12*$F92)
))</f>
        <v/>
      </c>
      <c r="F92" s="107">
        <f t="shared" si="9"/>
        <v>0.06</v>
      </c>
      <c r="G92" s="795">
        <f t="shared" ref="G92:G155" si="14">IF($A$26=1,I92,H92)</f>
        <v>0</v>
      </c>
      <c r="H92" s="795">
        <f t="shared" si="10"/>
        <v>0</v>
      </c>
      <c r="I92" s="795">
        <f t="shared" si="11"/>
        <v>0</v>
      </c>
      <c r="J92" s="795">
        <f t="shared" si="12"/>
        <v>0</v>
      </c>
      <c r="K92" s="108">
        <f t="shared" ref="K92:K155" si="15">YEAR(C92)</f>
        <v>2020</v>
      </c>
      <c r="L92" s="646" t="str">
        <f t="shared" ref="L92:L155" si="16">IF(AND(D92&gt;1,D93&lt;1),C92,"")</f>
        <v/>
      </c>
      <c r="M92" s="79"/>
      <c r="N92" s="80"/>
      <c r="O92" s="79"/>
      <c r="P92" s="82"/>
      <c r="Q92" s="79"/>
      <c r="R92" s="79"/>
    </row>
    <row r="93" spans="1:18" ht="12.75" customHeight="1">
      <c r="A93" s="645" t="str">
        <f>IF(B93&lt;&gt;"",MAX(A$28:A92)+1,IF(ISNA(HLOOKUP(DATE(YEAR($C$21),MONTH(C93),DAY(C93)),$C$21:$N$21,1,0)),"",MAX(A$28:A92)+1))</f>
        <v/>
      </c>
      <c r="B93" s="91" t="str">
        <f>IF(C93&lt;$K$16,"",IF(ISNA(HLOOKUP(DATE(YEAR($C$20),MONTH($C93),DAY($C93)),$C$20:$N$20,1,0)),"",MAX(B$28:B92)+1))</f>
        <v/>
      </c>
      <c r="C93" s="106">
        <f t="shared" si="13"/>
        <v>43982</v>
      </c>
      <c r="D93" s="795">
        <f t="shared" ref="D93:D156" si="17">D92-G92</f>
        <v>44666.290586619427</v>
      </c>
      <c r="E93" s="795" t="str">
        <f>IF($A93="","",IF($A93=1,D$29*$F93*($C93-$C$28)/$K$17,
(D93*ROUND(($C93-VLOOKUP($A93-1,$A$28:$C93,3,0))/30,0)/12*$F93)
))</f>
        <v/>
      </c>
      <c r="F93" s="107">
        <f t="shared" ref="F93:F156" si="18">IF(C93&gt;=$E$16,$E$15,$C$15)</f>
        <v>0.06</v>
      </c>
      <c r="G93" s="795">
        <f t="shared" si="14"/>
        <v>0</v>
      </c>
      <c r="H93" s="795">
        <f t="shared" ref="H93:H156" si="19">IF(B93="",0,MIN(D93,$E$14*$K$15/$H$16))</f>
        <v>0</v>
      </c>
      <c r="I93" s="795">
        <f t="shared" ref="I93:I156" si="20">IF(B93="",0,MIN(D92,IF(C93&gt;$E$16,$H$18,$H$15)/$H$16-E93))</f>
        <v>0</v>
      </c>
      <c r="J93" s="795">
        <f t="shared" ref="J93:J156" si="21">SUM(E93,G93)</f>
        <v>0</v>
      </c>
      <c r="K93" s="108">
        <f t="shared" si="15"/>
        <v>2020</v>
      </c>
      <c r="L93" s="646" t="str">
        <f t="shared" si="16"/>
        <v/>
      </c>
      <c r="M93" s="79"/>
      <c r="N93" s="80"/>
      <c r="O93" s="79"/>
      <c r="P93" s="82"/>
      <c r="Q93" s="79"/>
      <c r="R93" s="79"/>
    </row>
    <row r="94" spans="1:18" ht="12.75" customHeight="1">
      <c r="A94" s="645">
        <f>IF(B94&lt;&gt;"",MAX(A$28:A93)+1,IF(ISNA(HLOOKUP(DATE(YEAR($C$21),MONTH(C94),DAY(C94)),$C$21:$N$21,1,0)),"",MAX(A$28:A93)+1))</f>
        <v>22</v>
      </c>
      <c r="B94" s="91">
        <f>IF(C94&lt;$K$16,"",IF(ISNA(HLOOKUP(DATE(YEAR($C$20),MONTH($C94),DAY($C94)),$C$20:$N$20,1,0)),"",MAX(B$28:B93)+1))</f>
        <v>10</v>
      </c>
      <c r="C94" s="106">
        <f t="shared" ref="C94:C157" si="22">DATE(YEAR(C93),MONTH(C93)+2,1)-1</f>
        <v>44012</v>
      </c>
      <c r="D94" s="795">
        <f t="shared" si="17"/>
        <v>44666.290586619427</v>
      </c>
      <c r="E94" s="795">
        <f>IF($A94="","",IF($A94=1,D$29*$F94*($C94-$C$28)/$K$17,
(D94*ROUND(($C94-VLOOKUP($A94-1,$A$28:$C94,3,0))/30,0)/12*$F94)
))</f>
        <v>669.99435879929138</v>
      </c>
      <c r="F94" s="107">
        <f t="shared" si="18"/>
        <v>0.06</v>
      </c>
      <c r="G94" s="795">
        <f t="shared" si="14"/>
        <v>494.4322528256173</v>
      </c>
      <c r="H94" s="795">
        <f t="shared" si="19"/>
        <v>717.64705882352939</v>
      </c>
      <c r="I94" s="795">
        <f t="shared" si="20"/>
        <v>494.4322528256173</v>
      </c>
      <c r="J94" s="795">
        <f t="shared" si="21"/>
        <v>1164.4266116249087</v>
      </c>
      <c r="K94" s="108">
        <f t="shared" si="15"/>
        <v>2020</v>
      </c>
      <c r="L94" s="646" t="str">
        <f t="shared" si="16"/>
        <v/>
      </c>
      <c r="M94" s="79"/>
      <c r="N94" s="80"/>
      <c r="O94" s="79"/>
      <c r="P94" s="82"/>
      <c r="Q94" s="79"/>
      <c r="R94" s="79"/>
    </row>
    <row r="95" spans="1:18" ht="12.75" customHeight="1">
      <c r="A95" s="645" t="str">
        <f>IF(B95&lt;&gt;"",MAX(A$28:A94)+1,IF(ISNA(HLOOKUP(DATE(YEAR($C$21),MONTH(C95),DAY(C95)),$C$21:$N$21,1,0)),"",MAX(A$28:A94)+1))</f>
        <v/>
      </c>
      <c r="B95" s="91" t="str">
        <f>IF(C95&lt;$K$16,"",IF(ISNA(HLOOKUP(DATE(YEAR($C$20),MONTH($C95),DAY($C95)),$C$20:$N$20,1,0)),"",MAX(B$28:B94)+1))</f>
        <v/>
      </c>
      <c r="C95" s="106">
        <f t="shared" si="22"/>
        <v>44043</v>
      </c>
      <c r="D95" s="795">
        <f t="shared" si="17"/>
        <v>44171.858333793811</v>
      </c>
      <c r="E95" s="795" t="str">
        <f>IF($A95="","",IF($A95=1,D$29*$F95*($C95-$C$28)/$K$17,
(D95*ROUND(($C95-VLOOKUP($A95-1,$A$28:$C95,3,0))/30,0)/12*$F95)
))</f>
        <v/>
      </c>
      <c r="F95" s="107">
        <f t="shared" si="18"/>
        <v>0.06</v>
      </c>
      <c r="G95" s="795">
        <f t="shared" si="14"/>
        <v>0</v>
      </c>
      <c r="H95" s="795">
        <f t="shared" si="19"/>
        <v>0</v>
      </c>
      <c r="I95" s="795">
        <f t="shared" si="20"/>
        <v>0</v>
      </c>
      <c r="J95" s="795">
        <f t="shared" si="21"/>
        <v>0</v>
      </c>
      <c r="K95" s="108">
        <f t="shared" si="15"/>
        <v>2020</v>
      </c>
      <c r="L95" s="646" t="str">
        <f t="shared" si="16"/>
        <v/>
      </c>
      <c r="M95" s="79"/>
      <c r="N95" s="80"/>
      <c r="O95" s="79"/>
      <c r="P95" s="82"/>
      <c r="Q95" s="79"/>
      <c r="R95" s="79"/>
    </row>
    <row r="96" spans="1:18" ht="12.75" customHeight="1">
      <c r="A96" s="645" t="str">
        <f>IF(B96&lt;&gt;"",MAX(A$28:A95)+1,IF(ISNA(HLOOKUP(DATE(YEAR($C$21),MONTH(C96),DAY(C96)),$C$21:$N$21,1,0)),"",MAX(A$28:A95)+1))</f>
        <v/>
      </c>
      <c r="B96" s="91" t="str">
        <f>IF(C96&lt;$K$16,"",IF(ISNA(HLOOKUP(DATE(YEAR($C$20),MONTH($C96),DAY($C96)),$C$20:$N$20,1,0)),"",MAX(B$28:B95)+1))</f>
        <v/>
      </c>
      <c r="C96" s="106">
        <f t="shared" si="22"/>
        <v>44074</v>
      </c>
      <c r="D96" s="795">
        <f t="shared" si="17"/>
        <v>44171.858333793811</v>
      </c>
      <c r="E96" s="795" t="str">
        <f>IF($A96="","",IF($A96=1,D$29*$F96*($C96-$C$28)/$K$17,
(D96*ROUND(($C96-VLOOKUP($A96-1,$A$28:$C96,3,0))/30,0)/12*$F96)
))</f>
        <v/>
      </c>
      <c r="F96" s="107">
        <f t="shared" si="18"/>
        <v>0.06</v>
      </c>
      <c r="G96" s="795">
        <f t="shared" si="14"/>
        <v>0</v>
      </c>
      <c r="H96" s="795">
        <f t="shared" si="19"/>
        <v>0</v>
      </c>
      <c r="I96" s="795">
        <f t="shared" si="20"/>
        <v>0</v>
      </c>
      <c r="J96" s="795">
        <f t="shared" si="21"/>
        <v>0</v>
      </c>
      <c r="K96" s="108">
        <f t="shared" si="15"/>
        <v>2020</v>
      </c>
      <c r="L96" s="646" t="str">
        <f t="shared" si="16"/>
        <v/>
      </c>
      <c r="M96" s="79"/>
      <c r="N96" s="80"/>
      <c r="O96" s="79"/>
      <c r="P96" s="82"/>
      <c r="Q96" s="79"/>
      <c r="R96" s="79"/>
    </row>
    <row r="97" spans="1:18" ht="12.75" customHeight="1">
      <c r="A97" s="645">
        <f>IF(B97&lt;&gt;"",MAX(A$28:A96)+1,IF(ISNA(HLOOKUP(DATE(YEAR($C$21),MONTH(C97),DAY(C97)),$C$21:$N$21,1,0)),"",MAX(A$28:A96)+1))</f>
        <v>23</v>
      </c>
      <c r="B97" s="91">
        <f>IF(C97&lt;$K$16,"",IF(ISNA(HLOOKUP(DATE(YEAR($C$20),MONTH($C97),DAY($C97)),$C$20:$N$20,1,0)),"",MAX(B$28:B96)+1))</f>
        <v>11</v>
      </c>
      <c r="C97" s="106">
        <f t="shared" si="22"/>
        <v>44104</v>
      </c>
      <c r="D97" s="795">
        <f t="shared" si="17"/>
        <v>44171.858333793811</v>
      </c>
      <c r="E97" s="795">
        <f>IF($A97="","",IF($A97=1,D$29*$F97*($C97-$C$28)/$K$17,
(D97*ROUND(($C97-VLOOKUP($A97-1,$A$28:$C97,3,0))/30,0)/12*$F97)
))</f>
        <v>662.57787500690711</v>
      </c>
      <c r="F97" s="107">
        <f t="shared" si="18"/>
        <v>0.06</v>
      </c>
      <c r="G97" s="795">
        <f t="shared" si="14"/>
        <v>501.84873661800157</v>
      </c>
      <c r="H97" s="795">
        <f t="shared" si="19"/>
        <v>717.64705882352939</v>
      </c>
      <c r="I97" s="795">
        <f t="shared" si="20"/>
        <v>501.84873661800157</v>
      </c>
      <c r="J97" s="795">
        <f t="shared" si="21"/>
        <v>1164.4266116249087</v>
      </c>
      <c r="K97" s="108">
        <f t="shared" si="15"/>
        <v>2020</v>
      </c>
      <c r="L97" s="646" t="str">
        <f t="shared" si="16"/>
        <v/>
      </c>
      <c r="M97" s="79"/>
      <c r="N97" s="80"/>
      <c r="O97" s="79"/>
      <c r="P97" s="82"/>
      <c r="Q97" s="79"/>
      <c r="R97" s="79"/>
    </row>
    <row r="98" spans="1:18" ht="12.75" customHeight="1">
      <c r="A98" s="645" t="str">
        <f>IF(B98&lt;&gt;"",MAX(A$28:A97)+1,IF(ISNA(HLOOKUP(DATE(YEAR($C$21),MONTH(C98),DAY(C98)),$C$21:$N$21,1,0)),"",MAX(A$28:A97)+1))</f>
        <v/>
      </c>
      <c r="B98" s="91" t="str">
        <f>IF(C98&lt;$K$16,"",IF(ISNA(HLOOKUP(DATE(YEAR($C$20),MONTH($C98),DAY($C98)),$C$20:$N$20,1,0)),"",MAX(B$28:B97)+1))</f>
        <v/>
      </c>
      <c r="C98" s="106">
        <f t="shared" si="22"/>
        <v>44135</v>
      </c>
      <c r="D98" s="795">
        <f t="shared" si="17"/>
        <v>43670.009597175813</v>
      </c>
      <c r="E98" s="795" t="str">
        <f>IF($A98="","",IF($A98=1,D$29*$F98*($C98-$C$28)/$K$17,
(D98*ROUND(($C98-VLOOKUP($A98-1,$A$28:$C98,3,0))/30,0)/12*$F98)
))</f>
        <v/>
      </c>
      <c r="F98" s="107">
        <f t="shared" si="18"/>
        <v>0.06</v>
      </c>
      <c r="G98" s="795">
        <f t="shared" si="14"/>
        <v>0</v>
      </c>
      <c r="H98" s="795">
        <f t="shared" si="19"/>
        <v>0</v>
      </c>
      <c r="I98" s="795">
        <f t="shared" si="20"/>
        <v>0</v>
      </c>
      <c r="J98" s="795">
        <f t="shared" si="21"/>
        <v>0</v>
      </c>
      <c r="K98" s="108">
        <f t="shared" si="15"/>
        <v>2020</v>
      </c>
      <c r="L98" s="646" t="str">
        <f t="shared" si="16"/>
        <v/>
      </c>
      <c r="M98" s="79"/>
      <c r="N98" s="80"/>
      <c r="O98" s="79"/>
      <c r="P98" s="82"/>
      <c r="Q98" s="79"/>
      <c r="R98" s="79"/>
    </row>
    <row r="99" spans="1:18" ht="12.75" customHeight="1">
      <c r="A99" s="645" t="str">
        <f>IF(B99&lt;&gt;"",MAX(A$28:A98)+1,IF(ISNA(HLOOKUP(DATE(YEAR($C$21),MONTH(C99),DAY(C99)),$C$21:$N$21,1,0)),"",MAX(A$28:A98)+1))</f>
        <v/>
      </c>
      <c r="B99" s="91" t="str">
        <f>IF(C99&lt;$K$16,"",IF(ISNA(HLOOKUP(DATE(YEAR($C$20),MONTH($C99),DAY($C99)),$C$20:$N$20,1,0)),"",MAX(B$28:B98)+1))</f>
        <v/>
      </c>
      <c r="C99" s="106">
        <f t="shared" si="22"/>
        <v>44165</v>
      </c>
      <c r="D99" s="795">
        <f t="shared" si="17"/>
        <v>43670.009597175813</v>
      </c>
      <c r="E99" s="795" t="str">
        <f>IF($A99="","",IF($A99=1,D$29*$F99*($C99-$C$28)/$K$17,
(D99*ROUND(($C99-VLOOKUP($A99-1,$A$28:$C99,3,0))/30,0)/12*$F99)
))</f>
        <v/>
      </c>
      <c r="F99" s="107">
        <f t="shared" si="18"/>
        <v>0.06</v>
      </c>
      <c r="G99" s="795">
        <f t="shared" si="14"/>
        <v>0</v>
      </c>
      <c r="H99" s="795">
        <f t="shared" si="19"/>
        <v>0</v>
      </c>
      <c r="I99" s="795">
        <f t="shared" si="20"/>
        <v>0</v>
      </c>
      <c r="J99" s="795">
        <f t="shared" si="21"/>
        <v>0</v>
      </c>
      <c r="K99" s="108">
        <f t="shared" si="15"/>
        <v>2020</v>
      </c>
      <c r="L99" s="646" t="str">
        <f t="shared" si="16"/>
        <v/>
      </c>
      <c r="M99" s="79"/>
      <c r="N99" s="80"/>
      <c r="O99" s="79"/>
      <c r="P99" s="82"/>
      <c r="Q99" s="79"/>
      <c r="R99" s="79"/>
    </row>
    <row r="100" spans="1:18" ht="12.75" customHeight="1">
      <c r="A100" s="645">
        <f>IF(B100&lt;&gt;"",MAX(A$28:A99)+1,IF(ISNA(HLOOKUP(DATE(YEAR($C$21),MONTH(C100),DAY(C100)),$C$21:$N$21,1,0)),"",MAX(A$28:A99)+1))</f>
        <v>24</v>
      </c>
      <c r="B100" s="91">
        <f>IF(C100&lt;$K$16,"",IF(ISNA(HLOOKUP(DATE(YEAR($C$20),MONTH($C100),DAY($C100)),$C$20:$N$20,1,0)),"",MAX(B$28:B99)+1))</f>
        <v>12</v>
      </c>
      <c r="C100" s="106">
        <f t="shared" si="22"/>
        <v>44196</v>
      </c>
      <c r="D100" s="795">
        <f t="shared" si="17"/>
        <v>43670.009597175813</v>
      </c>
      <c r="E100" s="795">
        <f>IF($A100="","",IF($A100=1,D$29*$F100*($C100-$C$28)/$K$17,
(D100*ROUND(($C100-VLOOKUP($A100-1,$A$28:$C100,3,0))/30,0)/12*$F100)
))</f>
        <v>655.05014395763715</v>
      </c>
      <c r="F100" s="107">
        <f t="shared" si="18"/>
        <v>0.06</v>
      </c>
      <c r="G100" s="795">
        <f t="shared" si="14"/>
        <v>509.37646766727153</v>
      </c>
      <c r="H100" s="795">
        <f t="shared" si="19"/>
        <v>717.64705882352939</v>
      </c>
      <c r="I100" s="795">
        <f t="shared" si="20"/>
        <v>509.37646766727153</v>
      </c>
      <c r="J100" s="795">
        <f t="shared" si="21"/>
        <v>1164.4266116249087</v>
      </c>
      <c r="K100" s="108">
        <f t="shared" si="15"/>
        <v>2020</v>
      </c>
      <c r="L100" s="646" t="str">
        <f t="shared" si="16"/>
        <v/>
      </c>
      <c r="M100" s="79"/>
      <c r="N100" s="80"/>
      <c r="O100" s="79"/>
      <c r="P100" s="82"/>
      <c r="Q100" s="79"/>
      <c r="R100" s="79"/>
    </row>
    <row r="101" spans="1:18" ht="12.75" customHeight="1">
      <c r="A101" s="645" t="str">
        <f>IF(B101&lt;&gt;"",MAX(A$28:A100)+1,IF(ISNA(HLOOKUP(DATE(YEAR($C$21),MONTH(C101),DAY(C101)),$C$21:$N$21,1,0)),"",MAX(A$28:A100)+1))</f>
        <v/>
      </c>
      <c r="B101" s="91" t="str">
        <f>IF(C101&lt;$K$16,"",IF(ISNA(HLOOKUP(DATE(YEAR($C$20),MONTH($C101),DAY($C101)),$C$20:$N$20,1,0)),"",MAX(B$28:B100)+1))</f>
        <v/>
      </c>
      <c r="C101" s="106">
        <f t="shared" si="22"/>
        <v>44227</v>
      </c>
      <c r="D101" s="795">
        <f t="shared" si="17"/>
        <v>43160.63312950854</v>
      </c>
      <c r="E101" s="795" t="str">
        <f>IF($A101="","",IF($A101=1,D$29*$F101*($C101-$C$28)/$K$17,
(D101*ROUND(($C101-VLOOKUP($A101-1,$A$28:$C101,3,0))/30,0)/12*$F101)
))</f>
        <v/>
      </c>
      <c r="F101" s="107">
        <f t="shared" si="18"/>
        <v>0.06</v>
      </c>
      <c r="G101" s="795">
        <f t="shared" si="14"/>
        <v>0</v>
      </c>
      <c r="H101" s="795">
        <f t="shared" si="19"/>
        <v>0</v>
      </c>
      <c r="I101" s="795">
        <f t="shared" si="20"/>
        <v>0</v>
      </c>
      <c r="J101" s="795">
        <f t="shared" si="21"/>
        <v>0</v>
      </c>
      <c r="K101" s="108">
        <f t="shared" si="15"/>
        <v>2021</v>
      </c>
      <c r="L101" s="646" t="str">
        <f t="shared" si="16"/>
        <v/>
      </c>
      <c r="M101" s="79"/>
      <c r="N101" s="80"/>
      <c r="O101" s="79"/>
      <c r="P101" s="82"/>
      <c r="Q101" s="79"/>
      <c r="R101" s="79"/>
    </row>
    <row r="102" spans="1:18" ht="12.75" customHeight="1">
      <c r="A102" s="645" t="str">
        <f>IF(B102&lt;&gt;"",MAX(A$28:A101)+1,IF(ISNA(HLOOKUP(DATE(YEAR($C$21),MONTH(C102),DAY(C102)),$C$21:$N$21,1,0)),"",MAX(A$28:A101)+1))</f>
        <v/>
      </c>
      <c r="B102" s="91" t="str">
        <f>IF(C102&lt;$K$16,"",IF(ISNA(HLOOKUP(DATE(YEAR($C$20),MONTH($C102),DAY($C102)),$C$20:$N$20,1,0)),"",MAX(B$28:B101)+1))</f>
        <v/>
      </c>
      <c r="C102" s="106">
        <f t="shared" si="22"/>
        <v>44255</v>
      </c>
      <c r="D102" s="795">
        <f t="shared" si="17"/>
        <v>43160.63312950854</v>
      </c>
      <c r="E102" s="795" t="str">
        <f>IF($A102="","",IF($A102=1,D$29*$F102*($C102-$C$28)/$K$17,
(D102*ROUND(($C102-VLOOKUP($A102-1,$A$28:$C102,3,0))/30,0)/12*$F102)
))</f>
        <v/>
      </c>
      <c r="F102" s="107">
        <f t="shared" si="18"/>
        <v>0.06</v>
      </c>
      <c r="G102" s="795">
        <f t="shared" si="14"/>
        <v>0</v>
      </c>
      <c r="H102" s="795">
        <f t="shared" si="19"/>
        <v>0</v>
      </c>
      <c r="I102" s="795">
        <f t="shared" si="20"/>
        <v>0</v>
      </c>
      <c r="J102" s="795">
        <f t="shared" si="21"/>
        <v>0</v>
      </c>
      <c r="K102" s="108">
        <f t="shared" si="15"/>
        <v>2021</v>
      </c>
      <c r="L102" s="646" t="str">
        <f t="shared" si="16"/>
        <v/>
      </c>
      <c r="M102" s="79"/>
      <c r="N102" s="80"/>
      <c r="O102" s="79"/>
      <c r="P102" s="82"/>
      <c r="Q102" s="79"/>
      <c r="R102" s="79"/>
    </row>
    <row r="103" spans="1:18" ht="12.75" customHeight="1">
      <c r="A103" s="645">
        <f>IF(B103&lt;&gt;"",MAX(A$28:A102)+1,IF(ISNA(HLOOKUP(DATE(YEAR($C$21),MONTH(C103),DAY(C103)),$C$21:$N$21,1,0)),"",MAX(A$28:A102)+1))</f>
        <v>25</v>
      </c>
      <c r="B103" s="91">
        <f>IF(C103&lt;$K$16,"",IF(ISNA(HLOOKUP(DATE(YEAR($C$20),MONTH($C103),DAY($C103)),$C$20:$N$20,1,0)),"",MAX(B$28:B102)+1))</f>
        <v>13</v>
      </c>
      <c r="C103" s="106">
        <f t="shared" si="22"/>
        <v>44286</v>
      </c>
      <c r="D103" s="795">
        <f t="shared" si="17"/>
        <v>43160.63312950854</v>
      </c>
      <c r="E103" s="795">
        <f>IF($A103="","",IF($A103=1,D$29*$F103*($C103-$C$28)/$K$17,
(D103*ROUND(($C103-VLOOKUP($A103-1,$A$28:$C103,3,0))/30,0)/12*$F103)
))</f>
        <v>647.40949694262804</v>
      </c>
      <c r="F103" s="107">
        <f t="shared" si="18"/>
        <v>0.06</v>
      </c>
      <c r="G103" s="795">
        <f t="shared" si="14"/>
        <v>517.01711468228063</v>
      </c>
      <c r="H103" s="795">
        <f t="shared" si="19"/>
        <v>717.64705882352939</v>
      </c>
      <c r="I103" s="795">
        <f t="shared" si="20"/>
        <v>517.01711468228063</v>
      </c>
      <c r="J103" s="795">
        <f t="shared" si="21"/>
        <v>1164.4266116249087</v>
      </c>
      <c r="K103" s="108">
        <f t="shared" si="15"/>
        <v>2021</v>
      </c>
      <c r="L103" s="646" t="str">
        <f t="shared" si="16"/>
        <v/>
      </c>
      <c r="M103" s="79"/>
      <c r="N103" s="80"/>
      <c r="O103" s="79"/>
      <c r="P103" s="82"/>
      <c r="Q103" s="79"/>
      <c r="R103" s="79"/>
    </row>
    <row r="104" spans="1:18" ht="12.75" customHeight="1">
      <c r="A104" s="645" t="str">
        <f>IF(B104&lt;&gt;"",MAX(A$28:A103)+1,IF(ISNA(HLOOKUP(DATE(YEAR($C$21),MONTH(C104),DAY(C104)),$C$21:$N$21,1,0)),"",MAX(A$28:A103)+1))</f>
        <v/>
      </c>
      <c r="B104" s="91" t="str">
        <f>IF(C104&lt;$K$16,"",IF(ISNA(HLOOKUP(DATE(YEAR($C$20),MONTH($C104),DAY($C104)),$C$20:$N$20,1,0)),"",MAX(B$28:B103)+1))</f>
        <v/>
      </c>
      <c r="C104" s="106">
        <f t="shared" si="22"/>
        <v>44316</v>
      </c>
      <c r="D104" s="795">
        <f t="shared" si="17"/>
        <v>42643.616014826257</v>
      </c>
      <c r="E104" s="795" t="str">
        <f>IF($A104="","",IF($A104=1,D$29*$F104*($C104-$C$28)/$K$17,
(D104*ROUND(($C104-VLOOKUP($A104-1,$A$28:$C104,3,0))/30,0)/12*$F104)
))</f>
        <v/>
      </c>
      <c r="F104" s="107">
        <f t="shared" si="18"/>
        <v>0.06</v>
      </c>
      <c r="G104" s="795">
        <f t="shared" si="14"/>
        <v>0</v>
      </c>
      <c r="H104" s="795">
        <f t="shared" si="19"/>
        <v>0</v>
      </c>
      <c r="I104" s="795">
        <f t="shared" si="20"/>
        <v>0</v>
      </c>
      <c r="J104" s="795">
        <f t="shared" si="21"/>
        <v>0</v>
      </c>
      <c r="K104" s="108">
        <f t="shared" si="15"/>
        <v>2021</v>
      </c>
      <c r="L104" s="646" t="str">
        <f t="shared" si="16"/>
        <v/>
      </c>
      <c r="M104" s="79"/>
      <c r="N104" s="80"/>
      <c r="O104" s="79"/>
      <c r="P104" s="82"/>
      <c r="Q104" s="79"/>
      <c r="R104" s="79"/>
    </row>
    <row r="105" spans="1:18" ht="12.75" customHeight="1">
      <c r="A105" s="645" t="str">
        <f>IF(B105&lt;&gt;"",MAX(A$28:A104)+1,IF(ISNA(HLOOKUP(DATE(YEAR($C$21),MONTH(C105),DAY(C105)),$C$21:$N$21,1,0)),"",MAX(A$28:A104)+1))</f>
        <v/>
      </c>
      <c r="B105" s="91" t="str">
        <f>IF(C105&lt;$K$16,"",IF(ISNA(HLOOKUP(DATE(YEAR($C$20),MONTH($C105),DAY($C105)),$C$20:$N$20,1,0)),"",MAX(B$28:B104)+1))</f>
        <v/>
      </c>
      <c r="C105" s="106">
        <f t="shared" si="22"/>
        <v>44347</v>
      </c>
      <c r="D105" s="795">
        <f t="shared" si="17"/>
        <v>42643.616014826257</v>
      </c>
      <c r="E105" s="795" t="str">
        <f>IF($A105="","",IF($A105=1,D$29*$F105*($C105-$C$28)/$K$17,
(D105*ROUND(($C105-VLOOKUP($A105-1,$A$28:$C105,3,0))/30,0)/12*$F105)
))</f>
        <v/>
      </c>
      <c r="F105" s="107">
        <f t="shared" si="18"/>
        <v>0.06</v>
      </c>
      <c r="G105" s="795">
        <f t="shared" si="14"/>
        <v>0</v>
      </c>
      <c r="H105" s="795">
        <f t="shared" si="19"/>
        <v>0</v>
      </c>
      <c r="I105" s="795">
        <f t="shared" si="20"/>
        <v>0</v>
      </c>
      <c r="J105" s="795">
        <f t="shared" si="21"/>
        <v>0</v>
      </c>
      <c r="K105" s="108">
        <f t="shared" si="15"/>
        <v>2021</v>
      </c>
      <c r="L105" s="646" t="str">
        <f t="shared" si="16"/>
        <v/>
      </c>
      <c r="M105" s="79"/>
      <c r="N105" s="80"/>
      <c r="O105" s="79"/>
      <c r="P105" s="82"/>
      <c r="Q105" s="79"/>
      <c r="R105" s="79"/>
    </row>
    <row r="106" spans="1:18" ht="12.75" customHeight="1">
      <c r="A106" s="645">
        <f>IF(B106&lt;&gt;"",MAX(A$28:A105)+1,IF(ISNA(HLOOKUP(DATE(YEAR($C$21),MONTH(C106),DAY(C106)),$C$21:$N$21,1,0)),"",MAX(A$28:A105)+1))</f>
        <v>26</v>
      </c>
      <c r="B106" s="91">
        <f>IF(C106&lt;$K$16,"",IF(ISNA(HLOOKUP(DATE(YEAR($C$20),MONTH($C106),DAY($C106)),$C$20:$N$20,1,0)),"",MAX(B$28:B105)+1))</f>
        <v>14</v>
      </c>
      <c r="C106" s="106">
        <f t="shared" si="22"/>
        <v>44377</v>
      </c>
      <c r="D106" s="795">
        <f t="shared" si="17"/>
        <v>42643.616014826257</v>
      </c>
      <c r="E106" s="795">
        <f>IF($A106="","",IF($A106=1,D$29*$F106*($C106-$C$28)/$K$17,
(D106*ROUND(($C106-VLOOKUP($A106-1,$A$28:$C106,3,0))/30,0)/12*$F106)
))</f>
        <v>639.65424022239381</v>
      </c>
      <c r="F106" s="107">
        <f t="shared" si="18"/>
        <v>0.06</v>
      </c>
      <c r="G106" s="795">
        <f t="shared" si="14"/>
        <v>524.77237140251486</v>
      </c>
      <c r="H106" s="795">
        <f t="shared" si="19"/>
        <v>717.64705882352939</v>
      </c>
      <c r="I106" s="795">
        <f t="shared" si="20"/>
        <v>524.77237140251486</v>
      </c>
      <c r="J106" s="795">
        <f t="shared" si="21"/>
        <v>1164.4266116249087</v>
      </c>
      <c r="K106" s="108">
        <f t="shared" si="15"/>
        <v>2021</v>
      </c>
      <c r="L106" s="646" t="str">
        <f t="shared" si="16"/>
        <v/>
      </c>
      <c r="M106" s="79"/>
      <c r="N106" s="80"/>
      <c r="O106" s="79"/>
      <c r="P106" s="82"/>
      <c r="Q106" s="79"/>
      <c r="R106" s="79"/>
    </row>
    <row r="107" spans="1:18" ht="12.75" customHeight="1">
      <c r="A107" s="645" t="str">
        <f>IF(B107&lt;&gt;"",MAX(A$28:A106)+1,IF(ISNA(HLOOKUP(DATE(YEAR($C$21),MONTH(C107),DAY(C107)),$C$21:$N$21,1,0)),"",MAX(A$28:A106)+1))</f>
        <v/>
      </c>
      <c r="B107" s="91" t="str">
        <f>IF(C107&lt;$K$16,"",IF(ISNA(HLOOKUP(DATE(YEAR($C$20),MONTH($C107),DAY($C107)),$C$20:$N$20,1,0)),"",MAX(B$28:B106)+1))</f>
        <v/>
      </c>
      <c r="C107" s="106">
        <f t="shared" si="22"/>
        <v>44408</v>
      </c>
      <c r="D107" s="795">
        <f t="shared" si="17"/>
        <v>42118.843643423745</v>
      </c>
      <c r="E107" s="795" t="str">
        <f>IF($A107="","",IF($A107=1,D$29*$F107*($C107-$C$28)/$K$17,
(D107*ROUND(($C107-VLOOKUP($A107-1,$A$28:$C107,3,0))/30,0)/12*$F107)
))</f>
        <v/>
      </c>
      <c r="F107" s="107">
        <f t="shared" si="18"/>
        <v>0.06</v>
      </c>
      <c r="G107" s="795">
        <f t="shared" si="14"/>
        <v>0</v>
      </c>
      <c r="H107" s="795">
        <f t="shared" si="19"/>
        <v>0</v>
      </c>
      <c r="I107" s="795">
        <f t="shared" si="20"/>
        <v>0</v>
      </c>
      <c r="J107" s="795">
        <f t="shared" si="21"/>
        <v>0</v>
      </c>
      <c r="K107" s="108">
        <f t="shared" si="15"/>
        <v>2021</v>
      </c>
      <c r="L107" s="646" t="str">
        <f t="shared" si="16"/>
        <v/>
      </c>
      <c r="M107" s="79"/>
      <c r="N107" s="80"/>
      <c r="O107" s="79"/>
      <c r="P107" s="82"/>
      <c r="Q107" s="79"/>
      <c r="R107" s="79"/>
    </row>
    <row r="108" spans="1:18" ht="12.75" customHeight="1">
      <c r="A108" s="645" t="str">
        <f>IF(B108&lt;&gt;"",MAX(A$28:A107)+1,IF(ISNA(HLOOKUP(DATE(YEAR($C$21),MONTH(C108),DAY(C108)),$C$21:$N$21,1,0)),"",MAX(A$28:A107)+1))</f>
        <v/>
      </c>
      <c r="B108" s="91" t="str">
        <f>IF(C108&lt;$K$16,"",IF(ISNA(HLOOKUP(DATE(YEAR($C$20),MONTH($C108),DAY($C108)),$C$20:$N$20,1,0)),"",MAX(B$28:B107)+1))</f>
        <v/>
      </c>
      <c r="C108" s="106">
        <f t="shared" si="22"/>
        <v>44439</v>
      </c>
      <c r="D108" s="795">
        <f t="shared" si="17"/>
        <v>42118.843643423745</v>
      </c>
      <c r="E108" s="795" t="str">
        <f>IF($A108="","",IF($A108=1,D$29*$F108*($C108-$C$28)/$K$17,
(D108*ROUND(($C108-VLOOKUP($A108-1,$A$28:$C108,3,0))/30,0)/12*$F108)
))</f>
        <v/>
      </c>
      <c r="F108" s="107">
        <f t="shared" si="18"/>
        <v>0.06</v>
      </c>
      <c r="G108" s="795">
        <f t="shared" si="14"/>
        <v>0</v>
      </c>
      <c r="H108" s="795">
        <f t="shared" si="19"/>
        <v>0</v>
      </c>
      <c r="I108" s="795">
        <f t="shared" si="20"/>
        <v>0</v>
      </c>
      <c r="J108" s="795">
        <f t="shared" si="21"/>
        <v>0</v>
      </c>
      <c r="K108" s="108">
        <f t="shared" si="15"/>
        <v>2021</v>
      </c>
      <c r="L108" s="646" t="str">
        <f t="shared" si="16"/>
        <v/>
      </c>
      <c r="M108" s="79"/>
      <c r="N108" s="80"/>
      <c r="O108" s="79"/>
      <c r="P108" s="82"/>
      <c r="Q108" s="79"/>
      <c r="R108" s="79"/>
    </row>
    <row r="109" spans="1:18" ht="12.75" customHeight="1">
      <c r="A109" s="645">
        <f>IF(B109&lt;&gt;"",MAX(A$28:A108)+1,IF(ISNA(HLOOKUP(DATE(YEAR($C$21),MONTH(C109),DAY(C109)),$C$21:$N$21,1,0)),"",MAX(A$28:A108)+1))</f>
        <v>27</v>
      </c>
      <c r="B109" s="91">
        <f>IF(C109&lt;$K$16,"",IF(ISNA(HLOOKUP(DATE(YEAR($C$20),MONTH($C109),DAY($C109)),$C$20:$N$20,1,0)),"",MAX(B$28:B108)+1))</f>
        <v>15</v>
      </c>
      <c r="C109" s="106">
        <f t="shared" si="22"/>
        <v>44469</v>
      </c>
      <c r="D109" s="795">
        <f t="shared" si="17"/>
        <v>42118.843643423745</v>
      </c>
      <c r="E109" s="795">
        <f>IF($A109="","",IF($A109=1,D$29*$F109*($C109-$C$28)/$K$17,
(D109*ROUND(($C109-VLOOKUP($A109-1,$A$28:$C109,3,0))/30,0)/12*$F109)
))</f>
        <v>631.7826546513561</v>
      </c>
      <c r="F109" s="107">
        <f t="shared" si="18"/>
        <v>0.06</v>
      </c>
      <c r="G109" s="795">
        <f t="shared" si="14"/>
        <v>532.64395697355258</v>
      </c>
      <c r="H109" s="795">
        <f t="shared" si="19"/>
        <v>717.64705882352939</v>
      </c>
      <c r="I109" s="795">
        <f t="shared" si="20"/>
        <v>532.64395697355258</v>
      </c>
      <c r="J109" s="795">
        <f t="shared" si="21"/>
        <v>1164.4266116249087</v>
      </c>
      <c r="K109" s="108">
        <f t="shared" si="15"/>
        <v>2021</v>
      </c>
      <c r="L109" s="646" t="str">
        <f t="shared" si="16"/>
        <v/>
      </c>
      <c r="M109" s="79"/>
      <c r="N109" s="80"/>
      <c r="O109" s="79"/>
      <c r="P109" s="82"/>
      <c r="Q109" s="79"/>
      <c r="R109" s="79"/>
    </row>
    <row r="110" spans="1:18" ht="12.75" customHeight="1">
      <c r="A110" s="645" t="str">
        <f>IF(B110&lt;&gt;"",MAX(A$28:A109)+1,IF(ISNA(HLOOKUP(DATE(YEAR($C$21),MONTH(C110),DAY(C110)),$C$21:$N$21,1,0)),"",MAX(A$28:A109)+1))</f>
        <v/>
      </c>
      <c r="B110" s="91" t="str">
        <f>IF(C110&lt;$K$16,"",IF(ISNA(HLOOKUP(DATE(YEAR($C$20),MONTH($C110),DAY($C110)),$C$20:$N$20,1,0)),"",MAX(B$28:B109)+1))</f>
        <v/>
      </c>
      <c r="C110" s="106">
        <f t="shared" si="22"/>
        <v>44500</v>
      </c>
      <c r="D110" s="795">
        <f t="shared" si="17"/>
        <v>41586.199686450193</v>
      </c>
      <c r="E110" s="795" t="str">
        <f>IF($A110="","",IF($A110=1,D$29*$F110*($C110-$C$28)/$K$17,
(D110*ROUND(($C110-VLOOKUP($A110-1,$A$28:$C110,3,0))/30,0)/12*$F110)
))</f>
        <v/>
      </c>
      <c r="F110" s="107">
        <f t="shared" si="18"/>
        <v>0.06</v>
      </c>
      <c r="G110" s="795">
        <f t="shared" si="14"/>
        <v>0</v>
      </c>
      <c r="H110" s="795">
        <f t="shared" si="19"/>
        <v>0</v>
      </c>
      <c r="I110" s="795">
        <f t="shared" si="20"/>
        <v>0</v>
      </c>
      <c r="J110" s="795">
        <f t="shared" si="21"/>
        <v>0</v>
      </c>
      <c r="K110" s="108">
        <f t="shared" si="15"/>
        <v>2021</v>
      </c>
      <c r="L110" s="646" t="str">
        <f t="shared" si="16"/>
        <v/>
      </c>
      <c r="M110" s="79"/>
      <c r="N110" s="80"/>
      <c r="O110" s="79"/>
      <c r="P110" s="82"/>
      <c r="Q110" s="79"/>
      <c r="R110" s="79"/>
    </row>
    <row r="111" spans="1:18" ht="12.75" customHeight="1">
      <c r="A111" s="645" t="str">
        <f>IF(B111&lt;&gt;"",MAX(A$28:A110)+1,IF(ISNA(HLOOKUP(DATE(YEAR($C$21),MONTH(C111),DAY(C111)),$C$21:$N$21,1,0)),"",MAX(A$28:A110)+1))</f>
        <v/>
      </c>
      <c r="B111" s="91" t="str">
        <f>IF(C111&lt;$K$16,"",IF(ISNA(HLOOKUP(DATE(YEAR($C$20),MONTH($C111),DAY($C111)),$C$20:$N$20,1,0)),"",MAX(B$28:B110)+1))</f>
        <v/>
      </c>
      <c r="C111" s="106">
        <f t="shared" si="22"/>
        <v>44530</v>
      </c>
      <c r="D111" s="795">
        <f t="shared" si="17"/>
        <v>41586.199686450193</v>
      </c>
      <c r="E111" s="795" t="str">
        <f>IF($A111="","",IF($A111=1,D$29*$F111*($C111-$C$28)/$K$17,
(D111*ROUND(($C111-VLOOKUP($A111-1,$A$28:$C111,3,0))/30,0)/12*$F111)
))</f>
        <v/>
      </c>
      <c r="F111" s="107">
        <f t="shared" si="18"/>
        <v>0.06</v>
      </c>
      <c r="G111" s="795">
        <f t="shared" si="14"/>
        <v>0</v>
      </c>
      <c r="H111" s="795">
        <f t="shared" si="19"/>
        <v>0</v>
      </c>
      <c r="I111" s="795">
        <f t="shared" si="20"/>
        <v>0</v>
      </c>
      <c r="J111" s="795">
        <f t="shared" si="21"/>
        <v>0</v>
      </c>
      <c r="K111" s="108">
        <f t="shared" si="15"/>
        <v>2021</v>
      </c>
      <c r="L111" s="646" t="str">
        <f t="shared" si="16"/>
        <v/>
      </c>
      <c r="M111" s="79"/>
      <c r="N111" s="80"/>
      <c r="O111" s="79"/>
      <c r="P111" s="82"/>
      <c r="Q111" s="79"/>
      <c r="R111" s="79"/>
    </row>
    <row r="112" spans="1:18" ht="12.75" customHeight="1">
      <c r="A112" s="645">
        <f>IF(B112&lt;&gt;"",MAX(A$28:A111)+1,IF(ISNA(HLOOKUP(DATE(YEAR($C$21),MONTH(C112),DAY(C112)),$C$21:$N$21,1,0)),"",MAX(A$28:A111)+1))</f>
        <v>28</v>
      </c>
      <c r="B112" s="91">
        <f>IF(C112&lt;$K$16,"",IF(ISNA(HLOOKUP(DATE(YEAR($C$20),MONTH($C112),DAY($C112)),$C$20:$N$20,1,0)),"",MAX(B$28:B111)+1))</f>
        <v>16</v>
      </c>
      <c r="C112" s="106">
        <f t="shared" si="22"/>
        <v>44561</v>
      </c>
      <c r="D112" s="795">
        <f t="shared" si="17"/>
        <v>41586.199686450193</v>
      </c>
      <c r="E112" s="795">
        <f>IF($A112="","",IF($A112=1,D$29*$F112*($C112-$C$28)/$K$17,
(D112*ROUND(($C112-VLOOKUP($A112-1,$A$28:$C112,3,0))/30,0)/12*$F112)
))</f>
        <v>623.79299529675291</v>
      </c>
      <c r="F112" s="107">
        <f t="shared" si="18"/>
        <v>0.06</v>
      </c>
      <c r="G112" s="795">
        <f t="shared" si="14"/>
        <v>540.63361632815577</v>
      </c>
      <c r="H112" s="795">
        <f t="shared" si="19"/>
        <v>717.64705882352939</v>
      </c>
      <c r="I112" s="795">
        <f t="shared" si="20"/>
        <v>540.63361632815577</v>
      </c>
      <c r="J112" s="795">
        <f t="shared" si="21"/>
        <v>1164.4266116249087</v>
      </c>
      <c r="K112" s="108">
        <f t="shared" si="15"/>
        <v>2021</v>
      </c>
      <c r="L112" s="646" t="str">
        <f t="shared" si="16"/>
        <v/>
      </c>
      <c r="M112" s="79"/>
      <c r="N112" s="80"/>
      <c r="O112" s="79"/>
      <c r="P112" s="82"/>
      <c r="Q112" s="79"/>
      <c r="R112" s="79"/>
    </row>
    <row r="113" spans="1:18" ht="12.75" customHeight="1">
      <c r="A113" s="645" t="str">
        <f>IF(B113&lt;&gt;"",MAX(A$28:A112)+1,IF(ISNA(HLOOKUP(DATE(YEAR($C$21),MONTH(C113),DAY(C113)),$C$21:$N$21,1,0)),"",MAX(A$28:A112)+1))</f>
        <v/>
      </c>
      <c r="B113" s="91" t="str">
        <f>IF(C113&lt;$K$16,"",IF(ISNA(HLOOKUP(DATE(YEAR($C$20),MONTH($C113),DAY($C113)),$C$20:$N$20,1,0)),"",MAX(B$28:B112)+1))</f>
        <v/>
      </c>
      <c r="C113" s="106">
        <f t="shared" si="22"/>
        <v>44592</v>
      </c>
      <c r="D113" s="795">
        <f t="shared" si="17"/>
        <v>41045.566070122033</v>
      </c>
      <c r="E113" s="795" t="str">
        <f>IF($A113="","",IF($A113=1,D$29*$F113*($C113-$C$28)/$K$17,
(D113*ROUND(($C113-VLOOKUP($A113-1,$A$28:$C113,3,0))/30,0)/12*$F113)
))</f>
        <v/>
      </c>
      <c r="F113" s="107">
        <f t="shared" si="18"/>
        <v>0.06</v>
      </c>
      <c r="G113" s="795">
        <f t="shared" si="14"/>
        <v>0</v>
      </c>
      <c r="H113" s="795">
        <f t="shared" si="19"/>
        <v>0</v>
      </c>
      <c r="I113" s="795">
        <f t="shared" si="20"/>
        <v>0</v>
      </c>
      <c r="J113" s="795">
        <f t="shared" si="21"/>
        <v>0</v>
      </c>
      <c r="K113" s="108">
        <f t="shared" si="15"/>
        <v>2022</v>
      </c>
      <c r="L113" s="646" t="str">
        <f t="shared" si="16"/>
        <v/>
      </c>
      <c r="M113" s="79"/>
      <c r="N113" s="80"/>
      <c r="O113" s="79"/>
      <c r="P113" s="82"/>
      <c r="Q113" s="79"/>
      <c r="R113" s="79"/>
    </row>
    <row r="114" spans="1:18" ht="12.75" customHeight="1">
      <c r="A114" s="645" t="str">
        <f>IF(B114&lt;&gt;"",MAX(A$28:A113)+1,IF(ISNA(HLOOKUP(DATE(YEAR($C$21),MONTH(C114),DAY(C114)),$C$21:$N$21,1,0)),"",MAX(A$28:A113)+1))</f>
        <v/>
      </c>
      <c r="B114" s="91" t="str">
        <f>IF(C114&lt;$K$16,"",IF(ISNA(HLOOKUP(DATE(YEAR($C$20),MONTH($C114),DAY($C114)),$C$20:$N$20,1,0)),"",MAX(B$28:B113)+1))</f>
        <v/>
      </c>
      <c r="C114" s="106">
        <f t="shared" si="22"/>
        <v>44620</v>
      </c>
      <c r="D114" s="795">
        <f t="shared" si="17"/>
        <v>41045.566070122033</v>
      </c>
      <c r="E114" s="795" t="str">
        <f>IF($A114="","",IF($A114=1,D$29*$F114*($C114-$C$28)/$K$17,
(D114*ROUND(($C114-VLOOKUP($A114-1,$A$28:$C114,3,0))/30,0)/12*$F114)
))</f>
        <v/>
      </c>
      <c r="F114" s="107">
        <f t="shared" si="18"/>
        <v>0.06</v>
      </c>
      <c r="G114" s="795">
        <f t="shared" si="14"/>
        <v>0</v>
      </c>
      <c r="H114" s="795">
        <f t="shared" si="19"/>
        <v>0</v>
      </c>
      <c r="I114" s="795">
        <f t="shared" si="20"/>
        <v>0</v>
      </c>
      <c r="J114" s="795">
        <f t="shared" si="21"/>
        <v>0</v>
      </c>
      <c r="K114" s="108">
        <f t="shared" si="15"/>
        <v>2022</v>
      </c>
      <c r="L114" s="646" t="str">
        <f t="shared" si="16"/>
        <v/>
      </c>
      <c r="M114" s="79"/>
      <c r="N114" s="80"/>
      <c r="O114" s="79"/>
      <c r="P114" s="82"/>
      <c r="Q114" s="79"/>
      <c r="R114" s="79"/>
    </row>
    <row r="115" spans="1:18" ht="12.75" customHeight="1">
      <c r="A115" s="645">
        <f>IF(B115&lt;&gt;"",MAX(A$28:A114)+1,IF(ISNA(HLOOKUP(DATE(YEAR($C$21),MONTH(C115),DAY(C115)),$C$21:$N$21,1,0)),"",MAX(A$28:A114)+1))</f>
        <v>29</v>
      </c>
      <c r="B115" s="91">
        <f>IF(C115&lt;$K$16,"",IF(ISNA(HLOOKUP(DATE(YEAR($C$20),MONTH($C115),DAY($C115)),$C$20:$N$20,1,0)),"",MAX(B$28:B114)+1))</f>
        <v>17</v>
      </c>
      <c r="C115" s="106">
        <f t="shared" si="22"/>
        <v>44651</v>
      </c>
      <c r="D115" s="795">
        <f t="shared" si="17"/>
        <v>41045.566070122033</v>
      </c>
      <c r="E115" s="795">
        <f>IF($A115="","",IF($A115=1,D$29*$F115*($C115-$C$28)/$K$17,
(D115*ROUND(($C115-VLOOKUP($A115-1,$A$28:$C115,3,0))/30,0)/12*$F115)
))</f>
        <v>615.68349105183052</v>
      </c>
      <c r="F115" s="107">
        <f t="shared" si="18"/>
        <v>0.06</v>
      </c>
      <c r="G115" s="795">
        <f t="shared" si="14"/>
        <v>548.74312057307816</v>
      </c>
      <c r="H115" s="795">
        <f t="shared" si="19"/>
        <v>717.64705882352939</v>
      </c>
      <c r="I115" s="795">
        <f t="shared" si="20"/>
        <v>548.74312057307816</v>
      </c>
      <c r="J115" s="795">
        <f t="shared" si="21"/>
        <v>1164.4266116249087</v>
      </c>
      <c r="K115" s="108">
        <f t="shared" si="15"/>
        <v>2022</v>
      </c>
      <c r="L115" s="646" t="str">
        <f t="shared" si="16"/>
        <v/>
      </c>
      <c r="M115" s="79"/>
      <c r="N115" s="80"/>
      <c r="O115" s="79"/>
      <c r="P115" s="82"/>
      <c r="Q115" s="79"/>
      <c r="R115" s="79"/>
    </row>
    <row r="116" spans="1:18" ht="12.75" customHeight="1">
      <c r="A116" s="645" t="str">
        <f>IF(B116&lt;&gt;"",MAX(A$28:A115)+1,IF(ISNA(HLOOKUP(DATE(YEAR($C$21),MONTH(C116),DAY(C116)),$C$21:$N$21,1,0)),"",MAX(A$28:A115)+1))</f>
        <v/>
      </c>
      <c r="B116" s="91" t="str">
        <f>IF(C116&lt;$K$16,"",IF(ISNA(HLOOKUP(DATE(YEAR($C$20),MONTH($C116),DAY($C116)),$C$20:$N$20,1,0)),"",MAX(B$28:B115)+1))</f>
        <v/>
      </c>
      <c r="C116" s="106">
        <f t="shared" si="22"/>
        <v>44681</v>
      </c>
      <c r="D116" s="795">
        <f t="shared" si="17"/>
        <v>40496.822949548958</v>
      </c>
      <c r="E116" s="795" t="str">
        <f>IF($A116="","",IF($A116=1,D$29*$F116*($C116-$C$28)/$K$17,
(D116*ROUND(($C116-VLOOKUP($A116-1,$A$28:$C116,3,0))/30,0)/12*$F116)
))</f>
        <v/>
      </c>
      <c r="F116" s="107">
        <f t="shared" si="18"/>
        <v>0.06</v>
      </c>
      <c r="G116" s="795">
        <f t="shared" si="14"/>
        <v>0</v>
      </c>
      <c r="H116" s="795">
        <f t="shared" si="19"/>
        <v>0</v>
      </c>
      <c r="I116" s="795">
        <f t="shared" si="20"/>
        <v>0</v>
      </c>
      <c r="J116" s="795">
        <f t="shared" si="21"/>
        <v>0</v>
      </c>
      <c r="K116" s="108">
        <f t="shared" si="15"/>
        <v>2022</v>
      </c>
      <c r="L116" s="646" t="str">
        <f t="shared" si="16"/>
        <v/>
      </c>
      <c r="M116" s="79"/>
      <c r="N116" s="80"/>
      <c r="O116" s="79"/>
      <c r="P116" s="82"/>
      <c r="Q116" s="79"/>
      <c r="R116" s="79"/>
    </row>
    <row r="117" spans="1:18" ht="12.75" customHeight="1">
      <c r="A117" s="645" t="str">
        <f>IF(B117&lt;&gt;"",MAX(A$28:A116)+1,IF(ISNA(HLOOKUP(DATE(YEAR($C$21),MONTH(C117),DAY(C117)),$C$21:$N$21,1,0)),"",MAX(A$28:A116)+1))</f>
        <v/>
      </c>
      <c r="B117" s="91" t="str">
        <f>IF(C117&lt;$K$16,"",IF(ISNA(HLOOKUP(DATE(YEAR($C$20),MONTH($C117),DAY($C117)),$C$20:$N$20,1,0)),"",MAX(B$28:B116)+1))</f>
        <v/>
      </c>
      <c r="C117" s="106">
        <f t="shared" si="22"/>
        <v>44712</v>
      </c>
      <c r="D117" s="795">
        <f t="shared" si="17"/>
        <v>40496.822949548958</v>
      </c>
      <c r="E117" s="795" t="str">
        <f>IF($A117="","",IF($A117=1,D$29*$F117*($C117-$C$28)/$K$17,
(D117*ROUND(($C117-VLOOKUP($A117-1,$A$28:$C117,3,0))/30,0)/12*$F117)
))</f>
        <v/>
      </c>
      <c r="F117" s="107">
        <f t="shared" si="18"/>
        <v>0.06</v>
      </c>
      <c r="G117" s="795">
        <f t="shared" si="14"/>
        <v>0</v>
      </c>
      <c r="H117" s="795">
        <f t="shared" si="19"/>
        <v>0</v>
      </c>
      <c r="I117" s="795">
        <f t="shared" si="20"/>
        <v>0</v>
      </c>
      <c r="J117" s="795">
        <f t="shared" si="21"/>
        <v>0</v>
      </c>
      <c r="K117" s="108">
        <f t="shared" si="15"/>
        <v>2022</v>
      </c>
      <c r="L117" s="646" t="str">
        <f t="shared" si="16"/>
        <v/>
      </c>
    </row>
    <row r="118" spans="1:18" ht="12.75" customHeight="1">
      <c r="A118" s="645">
        <f>IF(B118&lt;&gt;"",MAX(A$28:A117)+1,IF(ISNA(HLOOKUP(DATE(YEAR($C$21),MONTH(C118),DAY(C118)),$C$21:$N$21,1,0)),"",MAX(A$28:A117)+1))</f>
        <v>30</v>
      </c>
      <c r="B118" s="91">
        <f>IF(C118&lt;$K$16,"",IF(ISNA(HLOOKUP(DATE(YEAR($C$20),MONTH($C118),DAY($C118)),$C$20:$N$20,1,0)),"",MAX(B$28:B117)+1))</f>
        <v>18</v>
      </c>
      <c r="C118" s="106">
        <f t="shared" si="22"/>
        <v>44742</v>
      </c>
      <c r="D118" s="795">
        <f t="shared" si="17"/>
        <v>40496.822949548958</v>
      </c>
      <c r="E118" s="795">
        <f>IF($A118="","",IF($A118=1,D$29*$F118*($C118-$C$28)/$K$17,
(D118*ROUND(($C118-VLOOKUP($A118-1,$A$28:$C118,3,0))/30,0)/12*$F118)
))</f>
        <v>607.45234424323439</v>
      </c>
      <c r="F118" s="107">
        <f t="shared" si="18"/>
        <v>0.06</v>
      </c>
      <c r="G118" s="795">
        <f t="shared" si="14"/>
        <v>556.97426738167428</v>
      </c>
      <c r="H118" s="795">
        <f t="shared" si="19"/>
        <v>717.64705882352939</v>
      </c>
      <c r="I118" s="795">
        <f t="shared" si="20"/>
        <v>556.97426738167428</v>
      </c>
      <c r="J118" s="795">
        <f t="shared" si="21"/>
        <v>1164.4266116249087</v>
      </c>
      <c r="K118" s="108">
        <f t="shared" si="15"/>
        <v>2022</v>
      </c>
      <c r="L118" s="646" t="str">
        <f t="shared" si="16"/>
        <v/>
      </c>
    </row>
    <row r="119" spans="1:18" ht="12.75" customHeight="1">
      <c r="A119" s="645" t="str">
        <f>IF(B119&lt;&gt;"",MAX(A$28:A118)+1,IF(ISNA(HLOOKUP(DATE(YEAR($C$21),MONTH(C119),DAY(C119)),$C$21:$N$21,1,0)),"",MAX(A$28:A118)+1))</f>
        <v/>
      </c>
      <c r="B119" s="91" t="str">
        <f>IF(C119&lt;$K$16,"",IF(ISNA(HLOOKUP(DATE(YEAR($C$20),MONTH($C119),DAY($C119)),$C$20:$N$20,1,0)),"",MAX(B$28:B118)+1))</f>
        <v/>
      </c>
      <c r="C119" s="106">
        <f t="shared" si="22"/>
        <v>44773</v>
      </c>
      <c r="D119" s="795">
        <f t="shared" si="17"/>
        <v>39939.848682167285</v>
      </c>
      <c r="E119" s="795" t="str">
        <f>IF($A119="","",IF($A119=1,D$29*$F119*($C119-$C$28)/$K$17,
(D119*ROUND(($C119-VLOOKUP($A119-1,$A$28:$C119,3,0))/30,0)/12*$F119)
))</f>
        <v/>
      </c>
      <c r="F119" s="107">
        <f t="shared" si="18"/>
        <v>0.06</v>
      </c>
      <c r="G119" s="795">
        <f t="shared" si="14"/>
        <v>0</v>
      </c>
      <c r="H119" s="795">
        <f t="shared" si="19"/>
        <v>0</v>
      </c>
      <c r="I119" s="795">
        <f t="shared" si="20"/>
        <v>0</v>
      </c>
      <c r="J119" s="795">
        <f t="shared" si="21"/>
        <v>0</v>
      </c>
      <c r="K119" s="108">
        <f t="shared" si="15"/>
        <v>2022</v>
      </c>
      <c r="L119" s="646" t="str">
        <f t="shared" si="16"/>
        <v/>
      </c>
    </row>
    <row r="120" spans="1:18" ht="12.75" customHeight="1">
      <c r="A120" s="645" t="str">
        <f>IF(B120&lt;&gt;"",MAX(A$28:A119)+1,IF(ISNA(HLOOKUP(DATE(YEAR($C$21),MONTH(C120),DAY(C120)),$C$21:$N$21,1,0)),"",MAX(A$28:A119)+1))</f>
        <v/>
      </c>
      <c r="B120" s="91" t="str">
        <f>IF(C120&lt;$K$16,"",IF(ISNA(HLOOKUP(DATE(YEAR($C$20),MONTH($C120),DAY($C120)),$C$20:$N$20,1,0)),"",MAX(B$28:B119)+1))</f>
        <v/>
      </c>
      <c r="C120" s="106">
        <f t="shared" si="22"/>
        <v>44804</v>
      </c>
      <c r="D120" s="795">
        <f t="shared" si="17"/>
        <v>39939.848682167285</v>
      </c>
      <c r="E120" s="795" t="str">
        <f>IF($A120="","",IF($A120=1,D$29*$F120*($C120-$C$28)/$K$17,
(D120*ROUND(($C120-VLOOKUP($A120-1,$A$28:$C120,3,0))/30,0)/12*$F120)
))</f>
        <v/>
      </c>
      <c r="F120" s="107">
        <f t="shared" si="18"/>
        <v>0.06</v>
      </c>
      <c r="G120" s="795">
        <f t="shared" si="14"/>
        <v>0</v>
      </c>
      <c r="H120" s="795">
        <f t="shared" si="19"/>
        <v>0</v>
      </c>
      <c r="I120" s="795">
        <f t="shared" si="20"/>
        <v>0</v>
      </c>
      <c r="J120" s="795">
        <f t="shared" si="21"/>
        <v>0</v>
      </c>
      <c r="K120" s="108">
        <f t="shared" si="15"/>
        <v>2022</v>
      </c>
      <c r="L120" s="646" t="str">
        <f t="shared" si="16"/>
        <v/>
      </c>
    </row>
    <row r="121" spans="1:18" ht="12.75" customHeight="1">
      <c r="A121" s="645">
        <f>IF(B121&lt;&gt;"",MAX(A$28:A120)+1,IF(ISNA(HLOOKUP(DATE(YEAR($C$21),MONTH(C121),DAY(C121)),$C$21:$N$21,1,0)),"",MAX(A$28:A120)+1))</f>
        <v>31</v>
      </c>
      <c r="B121" s="91">
        <f>IF(C121&lt;$K$16,"",IF(ISNA(HLOOKUP(DATE(YEAR($C$20),MONTH($C121),DAY($C121)),$C$20:$N$20,1,0)),"",MAX(B$28:B120)+1))</f>
        <v>19</v>
      </c>
      <c r="C121" s="106">
        <f t="shared" si="22"/>
        <v>44834</v>
      </c>
      <c r="D121" s="795">
        <f t="shared" si="17"/>
        <v>39939.848682167285</v>
      </c>
      <c r="E121" s="795">
        <f>IF($A121="","",IF($A121=1,D$29*$F121*($C121-$C$28)/$K$17,
(D121*ROUND(($C121-VLOOKUP($A121-1,$A$28:$C121,3,0))/30,0)/12*$F121)
))</f>
        <v>599.09773023250921</v>
      </c>
      <c r="F121" s="107">
        <f t="shared" si="18"/>
        <v>0.06</v>
      </c>
      <c r="G121" s="795">
        <f t="shared" si="14"/>
        <v>565.32888139239947</v>
      </c>
      <c r="H121" s="795">
        <f t="shared" si="19"/>
        <v>717.64705882352939</v>
      </c>
      <c r="I121" s="795">
        <f t="shared" si="20"/>
        <v>565.32888139239947</v>
      </c>
      <c r="J121" s="795">
        <f t="shared" si="21"/>
        <v>1164.4266116249087</v>
      </c>
      <c r="K121" s="108">
        <f t="shared" si="15"/>
        <v>2022</v>
      </c>
      <c r="L121" s="646" t="str">
        <f t="shared" si="16"/>
        <v/>
      </c>
    </row>
    <row r="122" spans="1:18" ht="12.75" customHeight="1">
      <c r="A122" s="645" t="str">
        <f>IF(B122&lt;&gt;"",MAX(A$28:A121)+1,IF(ISNA(HLOOKUP(DATE(YEAR($C$21),MONTH(C122),DAY(C122)),$C$21:$N$21,1,0)),"",MAX(A$28:A121)+1))</f>
        <v/>
      </c>
      <c r="B122" s="91" t="str">
        <f>IF(C122&lt;$K$16,"",IF(ISNA(HLOOKUP(DATE(YEAR($C$20),MONTH($C122),DAY($C122)),$C$20:$N$20,1,0)),"",MAX(B$28:B121)+1))</f>
        <v/>
      </c>
      <c r="C122" s="106">
        <f t="shared" si="22"/>
        <v>44865</v>
      </c>
      <c r="D122" s="795">
        <f t="shared" si="17"/>
        <v>39374.519800774884</v>
      </c>
      <c r="E122" s="795" t="str">
        <f>IF($A122="","",IF($A122=1,D$29*$F122*($C122-$C$28)/$K$17,
(D122*ROUND(($C122-VLOOKUP($A122-1,$A$28:$C122,3,0))/30,0)/12*$F122)
))</f>
        <v/>
      </c>
      <c r="F122" s="107">
        <f t="shared" si="18"/>
        <v>0.06</v>
      </c>
      <c r="G122" s="795">
        <f t="shared" si="14"/>
        <v>0</v>
      </c>
      <c r="H122" s="795">
        <f t="shared" si="19"/>
        <v>0</v>
      </c>
      <c r="I122" s="795">
        <f t="shared" si="20"/>
        <v>0</v>
      </c>
      <c r="J122" s="795">
        <f t="shared" si="21"/>
        <v>0</v>
      </c>
      <c r="K122" s="108">
        <f t="shared" si="15"/>
        <v>2022</v>
      </c>
      <c r="L122" s="646" t="str">
        <f t="shared" si="16"/>
        <v/>
      </c>
    </row>
    <row r="123" spans="1:18" ht="12.75" customHeight="1">
      <c r="A123" s="645" t="str">
        <f>IF(B123&lt;&gt;"",MAX(A$28:A122)+1,IF(ISNA(HLOOKUP(DATE(YEAR($C$21),MONTH(C123),DAY(C123)),$C$21:$N$21,1,0)),"",MAX(A$28:A122)+1))</f>
        <v/>
      </c>
      <c r="B123" s="91" t="str">
        <f>IF(C123&lt;$K$16,"",IF(ISNA(HLOOKUP(DATE(YEAR($C$20),MONTH($C123),DAY($C123)),$C$20:$N$20,1,0)),"",MAX(B$28:B122)+1))</f>
        <v/>
      </c>
      <c r="C123" s="106">
        <f t="shared" si="22"/>
        <v>44895</v>
      </c>
      <c r="D123" s="795">
        <f t="shared" si="17"/>
        <v>39374.519800774884</v>
      </c>
      <c r="E123" s="795" t="str">
        <f>IF($A123="","",IF($A123=1,D$29*$F123*($C123-$C$28)/$K$17,
(D123*ROUND(($C123-VLOOKUP($A123-1,$A$28:$C123,3,0))/30,0)/12*$F123)
))</f>
        <v/>
      </c>
      <c r="F123" s="107">
        <f t="shared" si="18"/>
        <v>0.06</v>
      </c>
      <c r="G123" s="795">
        <f t="shared" si="14"/>
        <v>0</v>
      </c>
      <c r="H123" s="795">
        <f t="shared" si="19"/>
        <v>0</v>
      </c>
      <c r="I123" s="795">
        <f t="shared" si="20"/>
        <v>0</v>
      </c>
      <c r="J123" s="795">
        <f t="shared" si="21"/>
        <v>0</v>
      </c>
      <c r="K123" s="108">
        <f t="shared" si="15"/>
        <v>2022</v>
      </c>
      <c r="L123" s="646" t="str">
        <f t="shared" si="16"/>
        <v/>
      </c>
    </row>
    <row r="124" spans="1:18" ht="12.75" customHeight="1">
      <c r="A124" s="645">
        <f>IF(B124&lt;&gt;"",MAX(A$28:A123)+1,IF(ISNA(HLOOKUP(DATE(YEAR($C$21),MONTH(C124),DAY(C124)),$C$21:$N$21,1,0)),"",MAX(A$28:A123)+1))</f>
        <v>32</v>
      </c>
      <c r="B124" s="91">
        <f>IF(C124&lt;$K$16,"",IF(ISNA(HLOOKUP(DATE(YEAR($C$20),MONTH($C124),DAY($C124)),$C$20:$N$20,1,0)),"",MAX(B$28:B123)+1))</f>
        <v>20</v>
      </c>
      <c r="C124" s="106">
        <f t="shared" si="22"/>
        <v>44926</v>
      </c>
      <c r="D124" s="795">
        <f t="shared" si="17"/>
        <v>39374.519800774884</v>
      </c>
      <c r="E124" s="795">
        <f>IF($A124="","",IF($A124=1,D$29*$F124*($C124-$C$28)/$K$17,
(D124*ROUND(($C124-VLOOKUP($A124-1,$A$28:$C124,3,0))/30,0)/12*$F124)
))</f>
        <v>590.61779701162322</v>
      </c>
      <c r="F124" s="107">
        <f t="shared" si="18"/>
        <v>0.06</v>
      </c>
      <c r="G124" s="795">
        <f t="shared" si="14"/>
        <v>573.80881461328545</v>
      </c>
      <c r="H124" s="795">
        <f t="shared" si="19"/>
        <v>717.64705882352939</v>
      </c>
      <c r="I124" s="795">
        <f t="shared" si="20"/>
        <v>573.80881461328545</v>
      </c>
      <c r="J124" s="795">
        <f t="shared" si="21"/>
        <v>1164.4266116249087</v>
      </c>
      <c r="K124" s="108">
        <f t="shared" si="15"/>
        <v>2022</v>
      </c>
      <c r="L124" s="646" t="str">
        <f t="shared" si="16"/>
        <v/>
      </c>
    </row>
    <row r="125" spans="1:18" ht="12.75" customHeight="1">
      <c r="A125" s="645" t="str">
        <f>IF(B125&lt;&gt;"",MAX(A$28:A124)+1,IF(ISNA(HLOOKUP(DATE(YEAR($C$21),MONTH(C125),DAY(C125)),$C$21:$N$21,1,0)),"",MAX(A$28:A124)+1))</f>
        <v/>
      </c>
      <c r="B125" s="91" t="str">
        <f>IF(C125&lt;$K$16,"",IF(ISNA(HLOOKUP(DATE(YEAR($C$20),MONTH($C125),DAY($C125)),$C$20:$N$20,1,0)),"",MAX(B$28:B124)+1))</f>
        <v/>
      </c>
      <c r="C125" s="106">
        <f t="shared" si="22"/>
        <v>44957</v>
      </c>
      <c r="D125" s="795">
        <f t="shared" si="17"/>
        <v>38800.710986161597</v>
      </c>
      <c r="E125" s="795" t="str">
        <f>IF($A125="","",IF($A125=1,D$29*$F125*($C125-$C$28)/$K$17,
(D125*ROUND(($C125-VLOOKUP($A125-1,$A$28:$C125,3,0))/30,0)/12*$F125)
))</f>
        <v/>
      </c>
      <c r="F125" s="107">
        <f t="shared" si="18"/>
        <v>0.06</v>
      </c>
      <c r="G125" s="795">
        <f t="shared" si="14"/>
        <v>0</v>
      </c>
      <c r="H125" s="795">
        <f t="shared" si="19"/>
        <v>0</v>
      </c>
      <c r="I125" s="795">
        <f t="shared" si="20"/>
        <v>0</v>
      </c>
      <c r="J125" s="795">
        <f t="shared" si="21"/>
        <v>0</v>
      </c>
      <c r="K125" s="108">
        <f t="shared" si="15"/>
        <v>2023</v>
      </c>
      <c r="L125" s="646" t="str">
        <f t="shared" si="16"/>
        <v/>
      </c>
    </row>
    <row r="126" spans="1:18" ht="12.75" customHeight="1">
      <c r="A126" s="645" t="str">
        <f>IF(B126&lt;&gt;"",MAX(A$28:A125)+1,IF(ISNA(HLOOKUP(DATE(YEAR($C$21),MONTH(C126),DAY(C126)),$C$21:$N$21,1,0)),"",MAX(A$28:A125)+1))</f>
        <v/>
      </c>
      <c r="B126" s="91" t="str">
        <f>IF(C126&lt;$K$16,"",IF(ISNA(HLOOKUP(DATE(YEAR($C$20),MONTH($C126),DAY($C126)),$C$20:$N$20,1,0)),"",MAX(B$28:B125)+1))</f>
        <v/>
      </c>
      <c r="C126" s="106">
        <f t="shared" si="22"/>
        <v>44985</v>
      </c>
      <c r="D126" s="795">
        <f t="shared" si="17"/>
        <v>38800.710986161597</v>
      </c>
      <c r="E126" s="795" t="str">
        <f>IF($A126="","",IF($A126=1,D$29*$F126*($C126-$C$28)/$K$17,
(D126*ROUND(($C126-VLOOKUP($A126-1,$A$28:$C126,3,0))/30,0)/12*$F126)
))</f>
        <v/>
      </c>
      <c r="F126" s="107">
        <f t="shared" si="18"/>
        <v>0.06</v>
      </c>
      <c r="G126" s="795">
        <f t="shared" si="14"/>
        <v>0</v>
      </c>
      <c r="H126" s="795">
        <f t="shared" si="19"/>
        <v>0</v>
      </c>
      <c r="I126" s="795">
        <f t="shared" si="20"/>
        <v>0</v>
      </c>
      <c r="J126" s="795">
        <f t="shared" si="21"/>
        <v>0</v>
      </c>
      <c r="K126" s="108">
        <f t="shared" si="15"/>
        <v>2023</v>
      </c>
      <c r="L126" s="646" t="str">
        <f t="shared" si="16"/>
        <v/>
      </c>
    </row>
    <row r="127" spans="1:18" ht="12.75" customHeight="1">
      <c r="A127" s="645">
        <f>IF(B127&lt;&gt;"",MAX(A$28:A126)+1,IF(ISNA(HLOOKUP(DATE(YEAR($C$21),MONTH(C127),DAY(C127)),$C$21:$N$21,1,0)),"",MAX(A$28:A126)+1))</f>
        <v>33</v>
      </c>
      <c r="B127" s="91">
        <f>IF(C127&lt;$K$16,"",IF(ISNA(HLOOKUP(DATE(YEAR($C$20),MONTH($C127),DAY($C127)),$C$20:$N$20,1,0)),"",MAX(B$28:B126)+1))</f>
        <v>21</v>
      </c>
      <c r="C127" s="106">
        <f t="shared" si="22"/>
        <v>45016</v>
      </c>
      <c r="D127" s="795">
        <f t="shared" si="17"/>
        <v>38800.710986161597</v>
      </c>
      <c r="E127" s="795">
        <f>IF($A127="","",IF($A127=1,D$29*$F127*($C127-$C$28)/$K$17,
(D127*ROUND(($C127-VLOOKUP($A127-1,$A$28:$C127,3,0))/30,0)/12*$F127)
))</f>
        <v>582.01066479242388</v>
      </c>
      <c r="F127" s="107">
        <f t="shared" si="18"/>
        <v>0.06</v>
      </c>
      <c r="G127" s="795">
        <f t="shared" si="14"/>
        <v>582.41594683248479</v>
      </c>
      <c r="H127" s="795">
        <f t="shared" si="19"/>
        <v>717.64705882352939</v>
      </c>
      <c r="I127" s="795">
        <f t="shared" si="20"/>
        <v>582.41594683248479</v>
      </c>
      <c r="J127" s="795">
        <f t="shared" si="21"/>
        <v>1164.4266116249087</v>
      </c>
      <c r="K127" s="108">
        <f t="shared" si="15"/>
        <v>2023</v>
      </c>
      <c r="L127" s="646" t="str">
        <f t="shared" si="16"/>
        <v/>
      </c>
    </row>
    <row r="128" spans="1:18" ht="12.75" customHeight="1">
      <c r="A128" s="645" t="str">
        <f>IF(B128&lt;&gt;"",MAX(A$28:A127)+1,IF(ISNA(HLOOKUP(DATE(YEAR($C$21),MONTH(C128),DAY(C128)),$C$21:$N$21,1,0)),"",MAX(A$28:A127)+1))</f>
        <v/>
      </c>
      <c r="B128" s="91" t="str">
        <f>IF(C128&lt;$K$16,"",IF(ISNA(HLOOKUP(DATE(YEAR($C$20),MONTH($C128),DAY($C128)),$C$20:$N$20,1,0)),"",MAX(B$28:B127)+1))</f>
        <v/>
      </c>
      <c r="C128" s="106">
        <f t="shared" si="22"/>
        <v>45046</v>
      </c>
      <c r="D128" s="795">
        <f t="shared" si="17"/>
        <v>38218.29503932911</v>
      </c>
      <c r="E128" s="795" t="str">
        <f>IF($A128="","",IF($A128=1,D$29*$F128*($C128-$C$28)/$K$17,
(D128*ROUND(($C128-VLOOKUP($A128-1,$A$28:$C128,3,0))/30,0)/12*$F128)
))</f>
        <v/>
      </c>
      <c r="F128" s="107">
        <f t="shared" si="18"/>
        <v>0.06</v>
      </c>
      <c r="G128" s="795">
        <f t="shared" si="14"/>
        <v>0</v>
      </c>
      <c r="H128" s="795">
        <f t="shared" si="19"/>
        <v>0</v>
      </c>
      <c r="I128" s="795">
        <f t="shared" si="20"/>
        <v>0</v>
      </c>
      <c r="J128" s="795">
        <f t="shared" si="21"/>
        <v>0</v>
      </c>
      <c r="K128" s="108">
        <f t="shared" si="15"/>
        <v>2023</v>
      </c>
      <c r="L128" s="646" t="str">
        <f t="shared" si="16"/>
        <v/>
      </c>
    </row>
    <row r="129" spans="1:12" ht="12.75" customHeight="1">
      <c r="A129" s="645" t="str">
        <f>IF(B129&lt;&gt;"",MAX(A$28:A128)+1,IF(ISNA(HLOOKUP(DATE(YEAR($C$21),MONTH(C129),DAY(C129)),$C$21:$N$21,1,0)),"",MAX(A$28:A128)+1))</f>
        <v/>
      </c>
      <c r="B129" s="91" t="str">
        <f>IF(C129&lt;$K$16,"",IF(ISNA(HLOOKUP(DATE(YEAR($C$20),MONTH($C129),DAY($C129)),$C$20:$N$20,1,0)),"",MAX(B$28:B128)+1))</f>
        <v/>
      </c>
      <c r="C129" s="106">
        <f t="shared" si="22"/>
        <v>45077</v>
      </c>
      <c r="D129" s="795">
        <f t="shared" si="17"/>
        <v>38218.29503932911</v>
      </c>
      <c r="E129" s="795" t="str">
        <f>IF($A129="","",IF($A129=1,D$29*$F129*($C129-$C$28)/$K$17,
(D129*ROUND(($C129-VLOOKUP($A129-1,$A$28:$C129,3,0))/30,0)/12*$F129)
))</f>
        <v/>
      </c>
      <c r="F129" s="107">
        <f t="shared" si="18"/>
        <v>0.06</v>
      </c>
      <c r="G129" s="795">
        <f t="shared" si="14"/>
        <v>0</v>
      </c>
      <c r="H129" s="795">
        <f t="shared" si="19"/>
        <v>0</v>
      </c>
      <c r="I129" s="795">
        <f t="shared" si="20"/>
        <v>0</v>
      </c>
      <c r="J129" s="795">
        <f t="shared" si="21"/>
        <v>0</v>
      </c>
      <c r="K129" s="108">
        <f t="shared" si="15"/>
        <v>2023</v>
      </c>
      <c r="L129" s="646" t="str">
        <f t="shared" si="16"/>
        <v/>
      </c>
    </row>
    <row r="130" spans="1:12" ht="12.75" customHeight="1">
      <c r="A130" s="645">
        <f>IF(B130&lt;&gt;"",MAX(A$28:A129)+1,IF(ISNA(HLOOKUP(DATE(YEAR($C$21),MONTH(C130),DAY(C130)),$C$21:$N$21,1,0)),"",MAX(A$28:A129)+1))</f>
        <v>34</v>
      </c>
      <c r="B130" s="91">
        <f>IF(C130&lt;$K$16,"",IF(ISNA(HLOOKUP(DATE(YEAR($C$20),MONTH($C130),DAY($C130)),$C$20:$N$20,1,0)),"",MAX(B$28:B129)+1))</f>
        <v>22</v>
      </c>
      <c r="C130" s="106">
        <f t="shared" si="22"/>
        <v>45107</v>
      </c>
      <c r="D130" s="795">
        <f t="shared" si="17"/>
        <v>38218.29503932911</v>
      </c>
      <c r="E130" s="795">
        <f>IF($A130="","",IF($A130=1,D$29*$F130*($C130-$C$28)/$K$17,
(D130*ROUND(($C130-VLOOKUP($A130-1,$A$28:$C130,3,0))/30,0)/12*$F130)
))</f>
        <v>573.27442558993664</v>
      </c>
      <c r="F130" s="107">
        <f t="shared" si="18"/>
        <v>0.06</v>
      </c>
      <c r="G130" s="795">
        <f t="shared" si="14"/>
        <v>591.15218603497203</v>
      </c>
      <c r="H130" s="795">
        <f t="shared" si="19"/>
        <v>717.64705882352939</v>
      </c>
      <c r="I130" s="795">
        <f t="shared" si="20"/>
        <v>591.15218603497203</v>
      </c>
      <c r="J130" s="795">
        <f t="shared" si="21"/>
        <v>1164.4266116249087</v>
      </c>
      <c r="K130" s="108">
        <f t="shared" si="15"/>
        <v>2023</v>
      </c>
      <c r="L130" s="646" t="str">
        <f t="shared" si="16"/>
        <v/>
      </c>
    </row>
    <row r="131" spans="1:12" ht="12.75" customHeight="1">
      <c r="A131" s="645" t="str">
        <f>IF(B131&lt;&gt;"",MAX(A$28:A130)+1,IF(ISNA(HLOOKUP(DATE(YEAR($C$21),MONTH(C131),DAY(C131)),$C$21:$N$21,1,0)),"",MAX(A$28:A130)+1))</f>
        <v/>
      </c>
      <c r="B131" s="91" t="str">
        <f>IF(C131&lt;$K$16,"",IF(ISNA(HLOOKUP(DATE(YEAR($C$20),MONTH($C131),DAY($C131)),$C$20:$N$20,1,0)),"",MAX(B$28:B130)+1))</f>
        <v/>
      </c>
      <c r="C131" s="106">
        <f t="shared" si="22"/>
        <v>45138</v>
      </c>
      <c r="D131" s="795">
        <f t="shared" si="17"/>
        <v>37627.142853294135</v>
      </c>
      <c r="E131" s="795" t="str">
        <f>IF($A131="","",IF($A131=1,D$29*$F131*($C131-$C$28)/$K$17,
(D131*ROUND(($C131-VLOOKUP($A131-1,$A$28:$C131,3,0))/30,0)/12*$F131)
))</f>
        <v/>
      </c>
      <c r="F131" s="107">
        <f t="shared" si="18"/>
        <v>0.06</v>
      </c>
      <c r="G131" s="795">
        <f t="shared" si="14"/>
        <v>0</v>
      </c>
      <c r="H131" s="795">
        <f t="shared" si="19"/>
        <v>0</v>
      </c>
      <c r="I131" s="795">
        <f t="shared" si="20"/>
        <v>0</v>
      </c>
      <c r="J131" s="795">
        <f t="shared" si="21"/>
        <v>0</v>
      </c>
      <c r="K131" s="108">
        <f t="shared" si="15"/>
        <v>2023</v>
      </c>
      <c r="L131" s="646" t="str">
        <f t="shared" si="16"/>
        <v/>
      </c>
    </row>
    <row r="132" spans="1:12" ht="12.75" customHeight="1">
      <c r="A132" s="645" t="str">
        <f>IF(B132&lt;&gt;"",MAX(A$28:A131)+1,IF(ISNA(HLOOKUP(DATE(YEAR($C$21),MONTH(C132),DAY(C132)),$C$21:$N$21,1,0)),"",MAX(A$28:A131)+1))</f>
        <v/>
      </c>
      <c r="B132" s="91" t="str">
        <f>IF(C132&lt;$K$16,"",IF(ISNA(HLOOKUP(DATE(YEAR($C$20),MONTH($C132),DAY($C132)),$C$20:$N$20,1,0)),"",MAX(B$28:B131)+1))</f>
        <v/>
      </c>
      <c r="C132" s="106">
        <f t="shared" si="22"/>
        <v>45169</v>
      </c>
      <c r="D132" s="795">
        <f t="shared" si="17"/>
        <v>37627.142853294135</v>
      </c>
      <c r="E132" s="795" t="str">
        <f>IF($A132="","",IF($A132=1,D$29*$F132*($C132-$C$28)/$K$17,
(D132*ROUND(($C132-VLOOKUP($A132-1,$A$28:$C132,3,0))/30,0)/12*$F132)
))</f>
        <v/>
      </c>
      <c r="F132" s="107">
        <f t="shared" si="18"/>
        <v>0.06</v>
      </c>
      <c r="G132" s="795">
        <f t="shared" si="14"/>
        <v>0</v>
      </c>
      <c r="H132" s="795">
        <f t="shared" si="19"/>
        <v>0</v>
      </c>
      <c r="I132" s="795">
        <f t="shared" si="20"/>
        <v>0</v>
      </c>
      <c r="J132" s="795">
        <f t="shared" si="21"/>
        <v>0</v>
      </c>
      <c r="K132" s="108">
        <f t="shared" si="15"/>
        <v>2023</v>
      </c>
      <c r="L132" s="646" t="str">
        <f t="shared" si="16"/>
        <v/>
      </c>
    </row>
    <row r="133" spans="1:12" ht="12.75" customHeight="1">
      <c r="A133" s="645">
        <f>IF(B133&lt;&gt;"",MAX(A$28:A132)+1,IF(ISNA(HLOOKUP(DATE(YEAR($C$21),MONTH(C133),DAY(C133)),$C$21:$N$21,1,0)),"",MAX(A$28:A132)+1))</f>
        <v>35</v>
      </c>
      <c r="B133" s="91">
        <f>IF(C133&lt;$K$16,"",IF(ISNA(HLOOKUP(DATE(YEAR($C$20),MONTH($C133),DAY($C133)),$C$20:$N$20,1,0)),"",MAX(B$28:B132)+1))</f>
        <v>23</v>
      </c>
      <c r="C133" s="106">
        <f t="shared" si="22"/>
        <v>45199</v>
      </c>
      <c r="D133" s="795">
        <f t="shared" si="17"/>
        <v>37627.142853294135</v>
      </c>
      <c r="E133" s="795">
        <f>IF($A133="","",IF($A133=1,D$29*$F133*($C133-$C$28)/$K$17,
(D133*ROUND(($C133-VLOOKUP($A133-1,$A$28:$C133,3,0))/30,0)/12*$F133)
))</f>
        <v>564.40714279941199</v>
      </c>
      <c r="F133" s="107">
        <f t="shared" si="18"/>
        <v>0.06</v>
      </c>
      <c r="G133" s="795">
        <f t="shared" si="14"/>
        <v>600.01946882549669</v>
      </c>
      <c r="H133" s="795">
        <f t="shared" si="19"/>
        <v>717.64705882352939</v>
      </c>
      <c r="I133" s="795">
        <f t="shared" si="20"/>
        <v>600.01946882549669</v>
      </c>
      <c r="J133" s="795">
        <f t="shared" si="21"/>
        <v>1164.4266116249087</v>
      </c>
      <c r="K133" s="108">
        <f t="shared" si="15"/>
        <v>2023</v>
      </c>
      <c r="L133" s="646" t="str">
        <f t="shared" si="16"/>
        <v/>
      </c>
    </row>
    <row r="134" spans="1:12" ht="12.75" customHeight="1">
      <c r="A134" s="645" t="str">
        <f>IF(B134&lt;&gt;"",MAX(A$28:A133)+1,IF(ISNA(HLOOKUP(DATE(YEAR($C$21),MONTH(C134),DAY(C134)),$C$21:$N$21,1,0)),"",MAX(A$28:A133)+1))</f>
        <v/>
      </c>
      <c r="B134" s="91" t="str">
        <f>IF(C134&lt;$K$16,"",IF(ISNA(HLOOKUP(DATE(YEAR($C$20),MONTH($C134),DAY($C134)),$C$20:$N$20,1,0)),"",MAX(B$28:B133)+1))</f>
        <v/>
      </c>
      <c r="C134" s="106">
        <f t="shared" si="22"/>
        <v>45230</v>
      </c>
      <c r="D134" s="795">
        <f t="shared" si="17"/>
        <v>37027.123384468636</v>
      </c>
      <c r="E134" s="795" t="str">
        <f>IF($A134="","",IF($A134=1,D$29*$F134*($C134-$C$28)/$K$17,
(D134*ROUND(($C134-VLOOKUP($A134-1,$A$28:$C134,3,0))/30,0)/12*$F134)
))</f>
        <v/>
      </c>
      <c r="F134" s="107">
        <f t="shared" si="18"/>
        <v>0.06</v>
      </c>
      <c r="G134" s="795">
        <f t="shared" si="14"/>
        <v>0</v>
      </c>
      <c r="H134" s="795">
        <f t="shared" si="19"/>
        <v>0</v>
      </c>
      <c r="I134" s="795">
        <f t="shared" si="20"/>
        <v>0</v>
      </c>
      <c r="J134" s="795">
        <f t="shared" si="21"/>
        <v>0</v>
      </c>
      <c r="K134" s="108">
        <f t="shared" si="15"/>
        <v>2023</v>
      </c>
      <c r="L134" s="646" t="str">
        <f t="shared" si="16"/>
        <v/>
      </c>
    </row>
    <row r="135" spans="1:12" ht="12.75" customHeight="1">
      <c r="A135" s="645" t="str">
        <f>IF(B135&lt;&gt;"",MAX(A$28:A134)+1,IF(ISNA(HLOOKUP(DATE(YEAR($C$21),MONTH(C135),DAY(C135)),$C$21:$N$21,1,0)),"",MAX(A$28:A134)+1))</f>
        <v/>
      </c>
      <c r="B135" s="91" t="str">
        <f>IF(C135&lt;$K$16,"",IF(ISNA(HLOOKUP(DATE(YEAR($C$20),MONTH($C135),DAY($C135)),$C$20:$N$20,1,0)),"",MAX(B$28:B134)+1))</f>
        <v/>
      </c>
      <c r="C135" s="106">
        <f t="shared" si="22"/>
        <v>45260</v>
      </c>
      <c r="D135" s="795">
        <f t="shared" si="17"/>
        <v>37027.123384468636</v>
      </c>
      <c r="E135" s="795" t="str">
        <f>IF($A135="","",IF($A135=1,D$29*$F135*($C135-$C$28)/$K$17,
(D135*ROUND(($C135-VLOOKUP($A135-1,$A$28:$C135,3,0))/30,0)/12*$F135)
))</f>
        <v/>
      </c>
      <c r="F135" s="107">
        <f t="shared" si="18"/>
        <v>0.06</v>
      </c>
      <c r="G135" s="795">
        <f t="shared" si="14"/>
        <v>0</v>
      </c>
      <c r="H135" s="795">
        <f t="shared" si="19"/>
        <v>0</v>
      </c>
      <c r="I135" s="795">
        <f t="shared" si="20"/>
        <v>0</v>
      </c>
      <c r="J135" s="795">
        <f t="shared" si="21"/>
        <v>0</v>
      </c>
      <c r="K135" s="108">
        <f t="shared" si="15"/>
        <v>2023</v>
      </c>
      <c r="L135" s="646" t="str">
        <f t="shared" si="16"/>
        <v/>
      </c>
    </row>
    <row r="136" spans="1:12" ht="12.75" customHeight="1">
      <c r="A136" s="645">
        <f>IF(B136&lt;&gt;"",MAX(A$28:A135)+1,IF(ISNA(HLOOKUP(DATE(YEAR($C$21),MONTH(C136),DAY(C136)),$C$21:$N$21,1,0)),"",MAX(A$28:A135)+1))</f>
        <v>36</v>
      </c>
      <c r="B136" s="91">
        <f>IF(C136&lt;$K$16,"",IF(ISNA(HLOOKUP(DATE(YEAR($C$20),MONTH($C136),DAY($C136)),$C$20:$N$20,1,0)),"",MAX(B$28:B135)+1))</f>
        <v>24</v>
      </c>
      <c r="C136" s="106">
        <f t="shared" si="22"/>
        <v>45291</v>
      </c>
      <c r="D136" s="795">
        <f t="shared" si="17"/>
        <v>37027.123384468636</v>
      </c>
      <c r="E136" s="795">
        <f>IF($A136="","",IF($A136=1,D$29*$F136*($C136-$C$28)/$K$17,
(D136*ROUND(($C136-VLOOKUP($A136-1,$A$28:$C136,3,0))/30,0)/12*$F136)
))</f>
        <v>555.40685076702948</v>
      </c>
      <c r="F136" s="107">
        <f t="shared" si="18"/>
        <v>0.06</v>
      </c>
      <c r="G136" s="795">
        <f t="shared" si="14"/>
        <v>609.01976085787919</v>
      </c>
      <c r="H136" s="795">
        <f t="shared" si="19"/>
        <v>717.64705882352939</v>
      </c>
      <c r="I136" s="795">
        <f t="shared" si="20"/>
        <v>609.01976085787919</v>
      </c>
      <c r="J136" s="795">
        <f t="shared" si="21"/>
        <v>1164.4266116249087</v>
      </c>
      <c r="K136" s="108">
        <f t="shared" si="15"/>
        <v>2023</v>
      </c>
      <c r="L136" s="646" t="str">
        <f t="shared" si="16"/>
        <v/>
      </c>
    </row>
    <row r="137" spans="1:12" ht="12.75" customHeight="1">
      <c r="A137" s="645" t="str">
        <f>IF(B137&lt;&gt;"",MAX(A$28:A136)+1,IF(ISNA(HLOOKUP(DATE(YEAR($C$21),MONTH(C137),DAY(C137)),$C$21:$N$21,1,0)),"",MAX(A$28:A136)+1))</f>
        <v/>
      </c>
      <c r="B137" s="91" t="str">
        <f>IF(C137&lt;$K$16,"",IF(ISNA(HLOOKUP(DATE(YEAR($C$20),MONTH($C137),DAY($C137)),$C$20:$N$20,1,0)),"",MAX(B$28:B136)+1))</f>
        <v/>
      </c>
      <c r="C137" s="106">
        <f t="shared" si="22"/>
        <v>45322</v>
      </c>
      <c r="D137" s="795">
        <f t="shared" si="17"/>
        <v>36418.103623610754</v>
      </c>
      <c r="E137" s="795" t="str">
        <f>IF($A137="","",IF($A137=1,D$29*$F137*($C137-$C$28)/$K$17,
(D137*ROUND(($C137-VLOOKUP($A137-1,$A$28:$C137,3,0))/30,0)/12*$F137)
))</f>
        <v/>
      </c>
      <c r="F137" s="107">
        <f t="shared" si="18"/>
        <v>0.06</v>
      </c>
      <c r="G137" s="795">
        <f t="shared" si="14"/>
        <v>0</v>
      </c>
      <c r="H137" s="795">
        <f t="shared" si="19"/>
        <v>0</v>
      </c>
      <c r="I137" s="795">
        <f t="shared" si="20"/>
        <v>0</v>
      </c>
      <c r="J137" s="795">
        <f t="shared" si="21"/>
        <v>0</v>
      </c>
      <c r="K137" s="108">
        <f t="shared" si="15"/>
        <v>2024</v>
      </c>
      <c r="L137" s="646" t="str">
        <f t="shared" si="16"/>
        <v/>
      </c>
    </row>
    <row r="138" spans="1:12" ht="12.75" customHeight="1">
      <c r="A138" s="645" t="str">
        <f>IF(B138&lt;&gt;"",MAX(A$28:A137)+1,IF(ISNA(HLOOKUP(DATE(YEAR($C$21),MONTH(C138),DAY(C138)),$C$21:$N$21,1,0)),"",MAX(A$28:A137)+1))</f>
        <v/>
      </c>
      <c r="B138" s="91" t="str">
        <f>IF(C138&lt;$K$16,"",IF(ISNA(HLOOKUP(DATE(YEAR($C$20),MONTH($C138),DAY($C138)),$C$20:$N$20,1,0)),"",MAX(B$28:B137)+1))</f>
        <v/>
      </c>
      <c r="C138" s="106">
        <f t="shared" si="22"/>
        <v>45351</v>
      </c>
      <c r="D138" s="795">
        <f t="shared" si="17"/>
        <v>36418.103623610754</v>
      </c>
      <c r="E138" s="795" t="str">
        <f>IF($A138="","",IF($A138=1,D$29*$F138*($C138-$C$28)/$K$17,
(D138*ROUND(($C138-VLOOKUP($A138-1,$A$28:$C138,3,0))/30,0)/12*$F138)
))</f>
        <v/>
      </c>
      <c r="F138" s="107">
        <f t="shared" si="18"/>
        <v>0.06</v>
      </c>
      <c r="G138" s="795">
        <f t="shared" si="14"/>
        <v>0</v>
      </c>
      <c r="H138" s="795">
        <f t="shared" si="19"/>
        <v>0</v>
      </c>
      <c r="I138" s="795">
        <f t="shared" si="20"/>
        <v>0</v>
      </c>
      <c r="J138" s="795">
        <f t="shared" si="21"/>
        <v>0</v>
      </c>
      <c r="K138" s="108">
        <f t="shared" si="15"/>
        <v>2024</v>
      </c>
      <c r="L138" s="646" t="str">
        <f t="shared" si="16"/>
        <v/>
      </c>
    </row>
    <row r="139" spans="1:12" ht="12.75" customHeight="1">
      <c r="A139" s="645">
        <f>IF(B139&lt;&gt;"",MAX(A$28:A138)+1,IF(ISNA(HLOOKUP(DATE(YEAR($C$21),MONTH(C139),DAY(C139)),$C$21:$N$21,1,0)),"",MAX(A$28:A138)+1))</f>
        <v>37</v>
      </c>
      <c r="B139" s="91">
        <f>IF(C139&lt;$K$16,"",IF(ISNA(HLOOKUP(DATE(YEAR($C$20),MONTH($C139),DAY($C139)),$C$20:$N$20,1,0)),"",MAX(B$28:B138)+1))</f>
        <v>25</v>
      </c>
      <c r="C139" s="106">
        <f t="shared" si="22"/>
        <v>45382</v>
      </c>
      <c r="D139" s="795">
        <f t="shared" si="17"/>
        <v>36418.103623610754</v>
      </c>
      <c r="E139" s="795">
        <f>IF($A139="","",IF($A139=1,D$29*$F139*($C139-$C$28)/$K$17,
(D139*ROUND(($C139-VLOOKUP($A139-1,$A$28:$C139,3,0))/30,0)/12*$F139)
))</f>
        <v>546.27155435416125</v>
      </c>
      <c r="F139" s="107">
        <f t="shared" si="18"/>
        <v>0.06</v>
      </c>
      <c r="G139" s="795">
        <f t="shared" si="14"/>
        <v>618.15505727074742</v>
      </c>
      <c r="H139" s="795">
        <f t="shared" si="19"/>
        <v>717.64705882352939</v>
      </c>
      <c r="I139" s="795">
        <f t="shared" si="20"/>
        <v>618.15505727074742</v>
      </c>
      <c r="J139" s="795">
        <f t="shared" si="21"/>
        <v>1164.4266116249087</v>
      </c>
      <c r="K139" s="108">
        <f t="shared" si="15"/>
        <v>2024</v>
      </c>
      <c r="L139" s="646" t="str">
        <f t="shared" si="16"/>
        <v/>
      </c>
    </row>
    <row r="140" spans="1:12" ht="12.75" customHeight="1">
      <c r="A140" s="645" t="str">
        <f>IF(B140&lt;&gt;"",MAX(A$28:A139)+1,IF(ISNA(HLOOKUP(DATE(YEAR($C$21),MONTH(C140),DAY(C140)),$C$21:$N$21,1,0)),"",MAX(A$28:A139)+1))</f>
        <v/>
      </c>
      <c r="B140" s="91" t="str">
        <f>IF(C140&lt;$K$16,"",IF(ISNA(HLOOKUP(DATE(YEAR($C$20),MONTH($C140),DAY($C140)),$C$20:$N$20,1,0)),"",MAX(B$28:B139)+1))</f>
        <v/>
      </c>
      <c r="C140" s="106">
        <f t="shared" si="22"/>
        <v>45412</v>
      </c>
      <c r="D140" s="795">
        <f t="shared" si="17"/>
        <v>35799.948566340005</v>
      </c>
      <c r="E140" s="795" t="str">
        <f>IF($A140="","",IF($A140=1,D$29*$F140*($C140-$C$28)/$K$17,
(D140*ROUND(($C140-VLOOKUP($A140-1,$A$28:$C140,3,0))/30,0)/12*$F140)
))</f>
        <v/>
      </c>
      <c r="F140" s="107">
        <f t="shared" si="18"/>
        <v>0.06</v>
      </c>
      <c r="G140" s="795">
        <f t="shared" si="14"/>
        <v>0</v>
      </c>
      <c r="H140" s="795">
        <f t="shared" si="19"/>
        <v>0</v>
      </c>
      <c r="I140" s="795">
        <f t="shared" si="20"/>
        <v>0</v>
      </c>
      <c r="J140" s="795">
        <f t="shared" si="21"/>
        <v>0</v>
      </c>
      <c r="K140" s="108">
        <f t="shared" si="15"/>
        <v>2024</v>
      </c>
      <c r="L140" s="646" t="str">
        <f t="shared" si="16"/>
        <v/>
      </c>
    </row>
    <row r="141" spans="1:12" ht="12.75" customHeight="1">
      <c r="A141" s="645" t="str">
        <f>IF(B141&lt;&gt;"",MAX(A$28:A140)+1,IF(ISNA(HLOOKUP(DATE(YEAR($C$21),MONTH(C141),DAY(C141)),$C$21:$N$21,1,0)),"",MAX(A$28:A140)+1))</f>
        <v/>
      </c>
      <c r="B141" s="91" t="str">
        <f>IF(C141&lt;$K$16,"",IF(ISNA(HLOOKUP(DATE(YEAR($C$20),MONTH($C141),DAY($C141)),$C$20:$N$20,1,0)),"",MAX(B$28:B140)+1))</f>
        <v/>
      </c>
      <c r="C141" s="106">
        <f t="shared" si="22"/>
        <v>45443</v>
      </c>
      <c r="D141" s="795">
        <f t="shared" si="17"/>
        <v>35799.948566340005</v>
      </c>
      <c r="E141" s="795" t="str">
        <f>IF($A141="","",IF($A141=1,D$29*$F141*($C141-$C$28)/$K$17,
(D141*ROUND(($C141-VLOOKUP($A141-1,$A$28:$C141,3,0))/30,0)/12*$F141)
))</f>
        <v/>
      </c>
      <c r="F141" s="107">
        <f t="shared" si="18"/>
        <v>0.06</v>
      </c>
      <c r="G141" s="795">
        <f t="shared" si="14"/>
        <v>0</v>
      </c>
      <c r="H141" s="795">
        <f t="shared" si="19"/>
        <v>0</v>
      </c>
      <c r="I141" s="795">
        <f t="shared" si="20"/>
        <v>0</v>
      </c>
      <c r="J141" s="795">
        <f t="shared" si="21"/>
        <v>0</v>
      </c>
      <c r="K141" s="108">
        <f t="shared" si="15"/>
        <v>2024</v>
      </c>
      <c r="L141" s="646" t="str">
        <f t="shared" si="16"/>
        <v/>
      </c>
    </row>
    <row r="142" spans="1:12" ht="12.75" customHeight="1">
      <c r="A142" s="645">
        <f>IF(B142&lt;&gt;"",MAX(A$28:A141)+1,IF(ISNA(HLOOKUP(DATE(YEAR($C$21),MONTH(C142),DAY(C142)),$C$21:$N$21,1,0)),"",MAX(A$28:A141)+1))</f>
        <v>38</v>
      </c>
      <c r="B142" s="91">
        <f>IF(C142&lt;$K$16,"",IF(ISNA(HLOOKUP(DATE(YEAR($C$20),MONTH($C142),DAY($C142)),$C$20:$N$20,1,0)),"",MAX(B$28:B141)+1))</f>
        <v>26</v>
      </c>
      <c r="C142" s="106">
        <f t="shared" si="22"/>
        <v>45473</v>
      </c>
      <c r="D142" s="795">
        <f t="shared" si="17"/>
        <v>35799.948566340005</v>
      </c>
      <c r="E142" s="795">
        <f>IF($A142="","",IF($A142=1,D$29*$F142*($C142-$C$28)/$K$17,
(D142*ROUND(($C142-VLOOKUP($A142-1,$A$28:$C142,3,0))/30,0)/12*$F142)
))</f>
        <v>536.99922849510006</v>
      </c>
      <c r="F142" s="107">
        <f t="shared" si="18"/>
        <v>0.06</v>
      </c>
      <c r="G142" s="795">
        <f t="shared" si="14"/>
        <v>627.42738312980862</v>
      </c>
      <c r="H142" s="795">
        <f t="shared" si="19"/>
        <v>717.64705882352939</v>
      </c>
      <c r="I142" s="795">
        <f t="shared" si="20"/>
        <v>627.42738312980862</v>
      </c>
      <c r="J142" s="795">
        <f t="shared" si="21"/>
        <v>1164.4266116249087</v>
      </c>
      <c r="K142" s="108">
        <f t="shared" si="15"/>
        <v>2024</v>
      </c>
      <c r="L142" s="646" t="str">
        <f t="shared" si="16"/>
        <v/>
      </c>
    </row>
    <row r="143" spans="1:12" ht="12.75" customHeight="1">
      <c r="A143" s="645" t="str">
        <f>IF(B143&lt;&gt;"",MAX(A$28:A142)+1,IF(ISNA(HLOOKUP(DATE(YEAR($C$21),MONTH(C143),DAY(C143)),$C$21:$N$21,1,0)),"",MAX(A$28:A142)+1))</f>
        <v/>
      </c>
      <c r="B143" s="91" t="str">
        <f>IF(C143&lt;$K$16,"",IF(ISNA(HLOOKUP(DATE(YEAR($C$20),MONTH($C143),DAY($C143)),$C$20:$N$20,1,0)),"",MAX(B$28:B142)+1))</f>
        <v/>
      </c>
      <c r="C143" s="106">
        <f t="shared" si="22"/>
        <v>45504</v>
      </c>
      <c r="D143" s="795">
        <f t="shared" si="17"/>
        <v>35172.5211832102</v>
      </c>
      <c r="E143" s="795" t="str">
        <f>IF($A143="","",IF($A143=1,D$29*$F143*($C143-$C$28)/$K$17,
(D143*ROUND(($C143-VLOOKUP($A143-1,$A$28:$C143,3,0))/30,0)/12*$F143)
))</f>
        <v/>
      </c>
      <c r="F143" s="107">
        <f t="shared" si="18"/>
        <v>0.06</v>
      </c>
      <c r="G143" s="795">
        <f t="shared" si="14"/>
        <v>0</v>
      </c>
      <c r="H143" s="795">
        <f t="shared" si="19"/>
        <v>0</v>
      </c>
      <c r="I143" s="795">
        <f t="shared" si="20"/>
        <v>0</v>
      </c>
      <c r="J143" s="795">
        <f t="shared" si="21"/>
        <v>0</v>
      </c>
      <c r="K143" s="108">
        <f t="shared" si="15"/>
        <v>2024</v>
      </c>
      <c r="L143" s="646" t="str">
        <f t="shared" si="16"/>
        <v/>
      </c>
    </row>
    <row r="144" spans="1:12" ht="12.75" customHeight="1">
      <c r="A144" s="645" t="str">
        <f>IF(B144&lt;&gt;"",MAX(A$28:A143)+1,IF(ISNA(HLOOKUP(DATE(YEAR($C$21),MONTH(C144),DAY(C144)),$C$21:$N$21,1,0)),"",MAX(A$28:A143)+1))</f>
        <v/>
      </c>
      <c r="B144" s="91" t="str">
        <f>IF(C144&lt;$K$16,"",IF(ISNA(HLOOKUP(DATE(YEAR($C$20),MONTH($C144),DAY($C144)),$C$20:$N$20,1,0)),"",MAX(B$28:B143)+1))</f>
        <v/>
      </c>
      <c r="C144" s="106">
        <f t="shared" si="22"/>
        <v>45535</v>
      </c>
      <c r="D144" s="795">
        <f t="shared" si="17"/>
        <v>35172.5211832102</v>
      </c>
      <c r="E144" s="795" t="str">
        <f>IF($A144="","",IF($A144=1,D$29*$F144*($C144-$C$28)/$K$17,
(D144*ROUND(($C144-VLOOKUP($A144-1,$A$28:$C144,3,0))/30,0)/12*$F144)
))</f>
        <v/>
      </c>
      <c r="F144" s="107">
        <f t="shared" si="18"/>
        <v>0.06</v>
      </c>
      <c r="G144" s="795">
        <f t="shared" si="14"/>
        <v>0</v>
      </c>
      <c r="H144" s="795">
        <f t="shared" si="19"/>
        <v>0</v>
      </c>
      <c r="I144" s="795">
        <f t="shared" si="20"/>
        <v>0</v>
      </c>
      <c r="J144" s="795">
        <f t="shared" si="21"/>
        <v>0</v>
      </c>
      <c r="K144" s="108">
        <f t="shared" si="15"/>
        <v>2024</v>
      </c>
      <c r="L144" s="646" t="str">
        <f t="shared" si="16"/>
        <v/>
      </c>
    </row>
    <row r="145" spans="1:12" ht="12.75" customHeight="1">
      <c r="A145" s="645">
        <f>IF(B145&lt;&gt;"",MAX(A$28:A144)+1,IF(ISNA(HLOOKUP(DATE(YEAR($C$21),MONTH(C145),DAY(C145)),$C$21:$N$21,1,0)),"",MAX(A$28:A144)+1))</f>
        <v>39</v>
      </c>
      <c r="B145" s="91">
        <f>IF(C145&lt;$K$16,"",IF(ISNA(HLOOKUP(DATE(YEAR($C$20),MONTH($C145),DAY($C145)),$C$20:$N$20,1,0)),"",MAX(B$28:B144)+1))</f>
        <v>27</v>
      </c>
      <c r="C145" s="106">
        <f t="shared" si="22"/>
        <v>45565</v>
      </c>
      <c r="D145" s="795">
        <f t="shared" si="17"/>
        <v>35172.5211832102</v>
      </c>
      <c r="E145" s="795">
        <f>IF($A145="","",IF($A145=1,D$29*$F145*($C145-$C$28)/$K$17,
(D145*ROUND(($C145-VLOOKUP($A145-1,$A$28:$C145,3,0))/30,0)/12*$F145)
))</f>
        <v>527.58781774815293</v>
      </c>
      <c r="F145" s="107">
        <f t="shared" si="18"/>
        <v>0.06</v>
      </c>
      <c r="G145" s="795">
        <f t="shared" si="14"/>
        <v>636.83879387675574</v>
      </c>
      <c r="H145" s="795">
        <f t="shared" si="19"/>
        <v>717.64705882352939</v>
      </c>
      <c r="I145" s="795">
        <f t="shared" si="20"/>
        <v>636.83879387675574</v>
      </c>
      <c r="J145" s="795">
        <f t="shared" si="21"/>
        <v>1164.4266116249087</v>
      </c>
      <c r="K145" s="108">
        <f t="shared" si="15"/>
        <v>2024</v>
      </c>
      <c r="L145" s="646" t="str">
        <f t="shared" si="16"/>
        <v/>
      </c>
    </row>
    <row r="146" spans="1:12" ht="12.75" customHeight="1">
      <c r="A146" s="645" t="str">
        <f>IF(B146&lt;&gt;"",MAX(A$28:A145)+1,IF(ISNA(HLOOKUP(DATE(YEAR($C$21),MONTH(C146),DAY(C146)),$C$21:$N$21,1,0)),"",MAX(A$28:A145)+1))</f>
        <v/>
      </c>
      <c r="B146" s="91" t="str">
        <f>IF(C146&lt;$K$16,"",IF(ISNA(HLOOKUP(DATE(YEAR($C$20),MONTH($C146),DAY($C146)),$C$20:$N$20,1,0)),"",MAX(B$28:B145)+1))</f>
        <v/>
      </c>
      <c r="C146" s="106">
        <f t="shared" si="22"/>
        <v>45596</v>
      </c>
      <c r="D146" s="795">
        <f t="shared" si="17"/>
        <v>34535.682389333444</v>
      </c>
      <c r="E146" s="795" t="str">
        <f>IF($A146="","",IF($A146=1,D$29*$F146*($C146-$C$28)/$K$17,
(D146*ROUND(($C146-VLOOKUP($A146-1,$A$28:$C146,3,0))/30,0)/12*$F146)
))</f>
        <v/>
      </c>
      <c r="F146" s="107">
        <f t="shared" si="18"/>
        <v>0.06</v>
      </c>
      <c r="G146" s="795">
        <f t="shared" si="14"/>
        <v>0</v>
      </c>
      <c r="H146" s="795">
        <f t="shared" si="19"/>
        <v>0</v>
      </c>
      <c r="I146" s="795">
        <f t="shared" si="20"/>
        <v>0</v>
      </c>
      <c r="J146" s="795">
        <f t="shared" si="21"/>
        <v>0</v>
      </c>
      <c r="K146" s="108">
        <f t="shared" si="15"/>
        <v>2024</v>
      </c>
      <c r="L146" s="646" t="str">
        <f t="shared" si="16"/>
        <v/>
      </c>
    </row>
    <row r="147" spans="1:12" ht="12.75" customHeight="1">
      <c r="A147" s="645" t="str">
        <f>IF(B147&lt;&gt;"",MAX(A$28:A146)+1,IF(ISNA(HLOOKUP(DATE(YEAR($C$21),MONTH(C147),DAY(C147)),$C$21:$N$21,1,0)),"",MAX(A$28:A146)+1))</f>
        <v/>
      </c>
      <c r="B147" s="91" t="str">
        <f>IF(C147&lt;$K$16,"",IF(ISNA(HLOOKUP(DATE(YEAR($C$20),MONTH($C147),DAY($C147)),$C$20:$N$20,1,0)),"",MAX(B$28:B146)+1))</f>
        <v/>
      </c>
      <c r="C147" s="106">
        <f t="shared" si="22"/>
        <v>45626</v>
      </c>
      <c r="D147" s="795">
        <f t="shared" si="17"/>
        <v>34535.682389333444</v>
      </c>
      <c r="E147" s="795" t="str">
        <f>IF($A147="","",IF($A147=1,D$29*$F147*($C147-$C$28)/$K$17,
(D147*ROUND(($C147-VLOOKUP($A147-1,$A$28:$C147,3,0))/30,0)/12*$F147)
))</f>
        <v/>
      </c>
      <c r="F147" s="107">
        <f t="shared" si="18"/>
        <v>0.06</v>
      </c>
      <c r="G147" s="795">
        <f t="shared" si="14"/>
        <v>0</v>
      </c>
      <c r="H147" s="795">
        <f t="shared" si="19"/>
        <v>0</v>
      </c>
      <c r="I147" s="795">
        <f t="shared" si="20"/>
        <v>0</v>
      </c>
      <c r="J147" s="795">
        <f t="shared" si="21"/>
        <v>0</v>
      </c>
      <c r="K147" s="108">
        <f t="shared" si="15"/>
        <v>2024</v>
      </c>
      <c r="L147" s="646" t="str">
        <f t="shared" si="16"/>
        <v/>
      </c>
    </row>
    <row r="148" spans="1:12" ht="12.75" customHeight="1">
      <c r="A148" s="645">
        <f>IF(B148&lt;&gt;"",MAX(A$28:A147)+1,IF(ISNA(HLOOKUP(DATE(YEAR($C$21),MONTH(C148),DAY(C148)),$C$21:$N$21,1,0)),"",MAX(A$28:A147)+1))</f>
        <v>40</v>
      </c>
      <c r="B148" s="91">
        <f>IF(C148&lt;$K$16,"",IF(ISNA(HLOOKUP(DATE(YEAR($C$20),MONTH($C148),DAY($C148)),$C$20:$N$20,1,0)),"",MAX(B$28:B147)+1))</f>
        <v>28</v>
      </c>
      <c r="C148" s="106">
        <f t="shared" si="22"/>
        <v>45657</v>
      </c>
      <c r="D148" s="795">
        <f t="shared" si="17"/>
        <v>34535.682389333444</v>
      </c>
      <c r="E148" s="795">
        <f>IF($A148="","",IF($A148=1,D$29*$F148*($C148-$C$28)/$K$17,
(D148*ROUND(($C148-VLOOKUP($A148-1,$A$28:$C148,3,0))/30,0)/12*$F148)
))</f>
        <v>518.03523584000163</v>
      </c>
      <c r="F148" s="107">
        <f t="shared" si="18"/>
        <v>0.06</v>
      </c>
      <c r="G148" s="795">
        <f t="shared" si="14"/>
        <v>646.39137578490704</v>
      </c>
      <c r="H148" s="795">
        <f t="shared" si="19"/>
        <v>717.64705882352939</v>
      </c>
      <c r="I148" s="795">
        <f t="shared" si="20"/>
        <v>646.39137578490704</v>
      </c>
      <c r="J148" s="795">
        <f t="shared" si="21"/>
        <v>1164.4266116249087</v>
      </c>
      <c r="K148" s="108">
        <f t="shared" si="15"/>
        <v>2024</v>
      </c>
      <c r="L148" s="646" t="str">
        <f t="shared" si="16"/>
        <v/>
      </c>
    </row>
    <row r="149" spans="1:12" ht="12.75" customHeight="1">
      <c r="A149" s="645" t="str">
        <f>IF(B149&lt;&gt;"",MAX(A$28:A148)+1,IF(ISNA(HLOOKUP(DATE(YEAR($C$21),MONTH(C149),DAY(C149)),$C$21:$N$21,1,0)),"",MAX(A$28:A148)+1))</f>
        <v/>
      </c>
      <c r="B149" s="91" t="str">
        <f>IF(C149&lt;$K$16,"",IF(ISNA(HLOOKUP(DATE(YEAR($C$20),MONTH($C149),DAY($C149)),$C$20:$N$20,1,0)),"",MAX(B$28:B148)+1))</f>
        <v/>
      </c>
      <c r="C149" s="106">
        <f t="shared" si="22"/>
        <v>45688</v>
      </c>
      <c r="D149" s="795">
        <f t="shared" si="17"/>
        <v>33889.291013548536</v>
      </c>
      <c r="E149" s="795" t="str">
        <f>IF($A149="","",IF($A149=1,D$29*$F149*($C149-$C$28)/$K$17,
(D149*ROUND(($C149-VLOOKUP($A149-1,$A$28:$C149,3,0))/30,0)/12*$F149)
))</f>
        <v/>
      </c>
      <c r="F149" s="107">
        <f t="shared" si="18"/>
        <v>0.06</v>
      </c>
      <c r="G149" s="795">
        <f t="shared" si="14"/>
        <v>0</v>
      </c>
      <c r="H149" s="795">
        <f t="shared" si="19"/>
        <v>0</v>
      </c>
      <c r="I149" s="795">
        <f t="shared" si="20"/>
        <v>0</v>
      </c>
      <c r="J149" s="795">
        <f t="shared" si="21"/>
        <v>0</v>
      </c>
      <c r="K149" s="108">
        <f t="shared" si="15"/>
        <v>2025</v>
      </c>
      <c r="L149" s="646" t="str">
        <f t="shared" si="16"/>
        <v/>
      </c>
    </row>
    <row r="150" spans="1:12" ht="12.75" customHeight="1">
      <c r="A150" s="645" t="str">
        <f>IF(B150&lt;&gt;"",MAX(A$28:A149)+1,IF(ISNA(HLOOKUP(DATE(YEAR($C$21),MONTH(C150),DAY(C150)),$C$21:$N$21,1,0)),"",MAX(A$28:A149)+1))</f>
        <v/>
      </c>
      <c r="B150" s="91" t="str">
        <f>IF(C150&lt;$K$16,"",IF(ISNA(HLOOKUP(DATE(YEAR($C$20),MONTH($C150),DAY($C150)),$C$20:$N$20,1,0)),"",MAX(B$28:B149)+1))</f>
        <v/>
      </c>
      <c r="C150" s="106">
        <f t="shared" si="22"/>
        <v>45716</v>
      </c>
      <c r="D150" s="795">
        <f t="shared" si="17"/>
        <v>33889.291013548536</v>
      </c>
      <c r="E150" s="795" t="str">
        <f>IF($A150="","",IF($A150=1,D$29*$F150*($C150-$C$28)/$K$17,
(D150*ROUND(($C150-VLOOKUP($A150-1,$A$28:$C150,3,0))/30,0)/12*$F150)
))</f>
        <v/>
      </c>
      <c r="F150" s="107">
        <f t="shared" si="18"/>
        <v>0.06</v>
      </c>
      <c r="G150" s="795">
        <f t="shared" si="14"/>
        <v>0</v>
      </c>
      <c r="H150" s="795">
        <f t="shared" si="19"/>
        <v>0</v>
      </c>
      <c r="I150" s="795">
        <f t="shared" si="20"/>
        <v>0</v>
      </c>
      <c r="J150" s="795">
        <f t="shared" si="21"/>
        <v>0</v>
      </c>
      <c r="K150" s="108">
        <f t="shared" si="15"/>
        <v>2025</v>
      </c>
      <c r="L150" s="646" t="str">
        <f t="shared" si="16"/>
        <v/>
      </c>
    </row>
    <row r="151" spans="1:12" ht="12.75" customHeight="1">
      <c r="A151" s="645">
        <f>IF(B151&lt;&gt;"",MAX(A$28:A150)+1,IF(ISNA(HLOOKUP(DATE(YEAR($C$21),MONTH(C151),DAY(C151)),$C$21:$N$21,1,0)),"",MAX(A$28:A150)+1))</f>
        <v>41</v>
      </c>
      <c r="B151" s="91">
        <f>IF(C151&lt;$K$16,"",IF(ISNA(HLOOKUP(DATE(YEAR($C$20),MONTH($C151),DAY($C151)),$C$20:$N$20,1,0)),"",MAX(B$28:B150)+1))</f>
        <v>29</v>
      </c>
      <c r="C151" s="106">
        <f t="shared" si="22"/>
        <v>45747</v>
      </c>
      <c r="D151" s="795">
        <f t="shared" si="17"/>
        <v>33889.291013548536</v>
      </c>
      <c r="E151" s="795">
        <f>IF($A151="","",IF($A151=1,D$29*$F151*($C151-$C$28)/$K$17,
(D151*ROUND(($C151-VLOOKUP($A151-1,$A$28:$C151,3,0))/30,0)/12*$F151)
))</f>
        <v>508.339365203228</v>
      </c>
      <c r="F151" s="107">
        <f t="shared" si="18"/>
        <v>0.06</v>
      </c>
      <c r="G151" s="795">
        <f t="shared" si="14"/>
        <v>656.08724642168067</v>
      </c>
      <c r="H151" s="795">
        <f t="shared" si="19"/>
        <v>717.64705882352939</v>
      </c>
      <c r="I151" s="795">
        <f t="shared" si="20"/>
        <v>656.08724642168067</v>
      </c>
      <c r="J151" s="795">
        <f t="shared" si="21"/>
        <v>1164.4266116249087</v>
      </c>
      <c r="K151" s="108">
        <f t="shared" si="15"/>
        <v>2025</v>
      </c>
      <c r="L151" s="646" t="str">
        <f t="shared" si="16"/>
        <v/>
      </c>
    </row>
    <row r="152" spans="1:12" ht="12.75" customHeight="1">
      <c r="A152" s="645" t="str">
        <f>IF(B152&lt;&gt;"",MAX(A$28:A151)+1,IF(ISNA(HLOOKUP(DATE(YEAR($C$21),MONTH(C152),DAY(C152)),$C$21:$N$21,1,0)),"",MAX(A$28:A151)+1))</f>
        <v/>
      </c>
      <c r="B152" s="91" t="str">
        <f>IF(C152&lt;$K$16,"",IF(ISNA(HLOOKUP(DATE(YEAR($C$20),MONTH($C152),DAY($C152)),$C$20:$N$20,1,0)),"",MAX(B$28:B151)+1))</f>
        <v/>
      </c>
      <c r="C152" s="106">
        <f t="shared" si="22"/>
        <v>45777</v>
      </c>
      <c r="D152" s="795">
        <f t="shared" si="17"/>
        <v>33233.203767126855</v>
      </c>
      <c r="E152" s="795" t="str">
        <f>IF($A152="","",IF($A152=1,D$29*$F152*($C152-$C$28)/$K$17,
(D152*ROUND(($C152-VLOOKUP($A152-1,$A$28:$C152,3,0))/30,0)/12*$F152)
))</f>
        <v/>
      </c>
      <c r="F152" s="107">
        <f t="shared" si="18"/>
        <v>0.06</v>
      </c>
      <c r="G152" s="795">
        <f t="shared" si="14"/>
        <v>0</v>
      </c>
      <c r="H152" s="795">
        <f t="shared" si="19"/>
        <v>0</v>
      </c>
      <c r="I152" s="795">
        <f t="shared" si="20"/>
        <v>0</v>
      </c>
      <c r="J152" s="795">
        <f t="shared" si="21"/>
        <v>0</v>
      </c>
      <c r="K152" s="108">
        <f t="shared" si="15"/>
        <v>2025</v>
      </c>
      <c r="L152" s="646" t="str">
        <f t="shared" si="16"/>
        <v/>
      </c>
    </row>
    <row r="153" spans="1:12" ht="12.75" customHeight="1">
      <c r="A153" s="645" t="str">
        <f>IF(B153&lt;&gt;"",MAX(A$28:A152)+1,IF(ISNA(HLOOKUP(DATE(YEAR($C$21),MONTH(C153),DAY(C153)),$C$21:$N$21,1,0)),"",MAX(A$28:A152)+1))</f>
        <v/>
      </c>
      <c r="B153" s="91" t="str">
        <f>IF(C153&lt;$K$16,"",IF(ISNA(HLOOKUP(DATE(YEAR($C$20),MONTH($C153),DAY($C153)),$C$20:$N$20,1,0)),"",MAX(B$28:B152)+1))</f>
        <v/>
      </c>
      <c r="C153" s="106">
        <f t="shared" si="22"/>
        <v>45808</v>
      </c>
      <c r="D153" s="795">
        <f t="shared" si="17"/>
        <v>33233.203767126855</v>
      </c>
      <c r="E153" s="795" t="str">
        <f>IF($A153="","",IF($A153=1,D$29*$F153*($C153-$C$28)/$K$17,
(D153*ROUND(($C153-VLOOKUP($A153-1,$A$28:$C153,3,0))/30,0)/12*$F153)
))</f>
        <v/>
      </c>
      <c r="F153" s="107">
        <f t="shared" si="18"/>
        <v>0.06</v>
      </c>
      <c r="G153" s="795">
        <f t="shared" si="14"/>
        <v>0</v>
      </c>
      <c r="H153" s="795">
        <f t="shared" si="19"/>
        <v>0</v>
      </c>
      <c r="I153" s="795">
        <f t="shared" si="20"/>
        <v>0</v>
      </c>
      <c r="J153" s="795">
        <f t="shared" si="21"/>
        <v>0</v>
      </c>
      <c r="K153" s="108">
        <f t="shared" si="15"/>
        <v>2025</v>
      </c>
      <c r="L153" s="646" t="str">
        <f t="shared" si="16"/>
        <v/>
      </c>
    </row>
    <row r="154" spans="1:12" ht="12.75" customHeight="1">
      <c r="A154" s="645">
        <f>IF(B154&lt;&gt;"",MAX(A$28:A153)+1,IF(ISNA(HLOOKUP(DATE(YEAR($C$21),MONTH(C154),DAY(C154)),$C$21:$N$21,1,0)),"",MAX(A$28:A153)+1))</f>
        <v>42</v>
      </c>
      <c r="B154" s="91">
        <f>IF(C154&lt;$K$16,"",IF(ISNA(HLOOKUP(DATE(YEAR($C$20),MONTH($C154),DAY($C154)),$C$20:$N$20,1,0)),"",MAX(B$28:B153)+1))</f>
        <v>30</v>
      </c>
      <c r="C154" s="106">
        <f t="shared" si="22"/>
        <v>45838</v>
      </c>
      <c r="D154" s="795">
        <f t="shared" si="17"/>
        <v>33233.203767126855</v>
      </c>
      <c r="E154" s="795">
        <f>IF($A154="","",IF($A154=1,D$29*$F154*($C154-$C$28)/$K$17,
(D154*ROUND(($C154-VLOOKUP($A154-1,$A$28:$C154,3,0))/30,0)/12*$F154)
))</f>
        <v>498.4980565069028</v>
      </c>
      <c r="F154" s="107">
        <f t="shared" si="18"/>
        <v>0.06</v>
      </c>
      <c r="G154" s="795">
        <f t="shared" si="14"/>
        <v>665.92855511800587</v>
      </c>
      <c r="H154" s="795">
        <f t="shared" si="19"/>
        <v>717.64705882352939</v>
      </c>
      <c r="I154" s="795">
        <f t="shared" si="20"/>
        <v>665.92855511800587</v>
      </c>
      <c r="J154" s="795">
        <f t="shared" si="21"/>
        <v>1164.4266116249087</v>
      </c>
      <c r="K154" s="108">
        <f t="shared" si="15"/>
        <v>2025</v>
      </c>
      <c r="L154" s="646" t="str">
        <f t="shared" si="16"/>
        <v/>
      </c>
    </row>
    <row r="155" spans="1:12" ht="12.75" customHeight="1">
      <c r="A155" s="645" t="str">
        <f>IF(B155&lt;&gt;"",MAX(A$28:A154)+1,IF(ISNA(HLOOKUP(DATE(YEAR($C$21),MONTH(C155),DAY(C155)),$C$21:$N$21,1,0)),"",MAX(A$28:A154)+1))</f>
        <v/>
      </c>
      <c r="B155" s="91" t="str">
        <f>IF(C155&lt;$K$16,"",IF(ISNA(HLOOKUP(DATE(YEAR($C$20),MONTH($C155),DAY($C155)),$C$20:$N$20,1,0)),"",MAX(B$28:B154)+1))</f>
        <v/>
      </c>
      <c r="C155" s="106">
        <f t="shared" si="22"/>
        <v>45869</v>
      </c>
      <c r="D155" s="795">
        <f t="shared" si="17"/>
        <v>32567.275212008848</v>
      </c>
      <c r="E155" s="795" t="str">
        <f>IF($A155="","",IF($A155=1,D$29*$F155*($C155-$C$28)/$K$17,
(D155*ROUND(($C155-VLOOKUP($A155-1,$A$28:$C155,3,0))/30,0)/12*$F155)
))</f>
        <v/>
      </c>
      <c r="F155" s="107">
        <f t="shared" si="18"/>
        <v>0.06</v>
      </c>
      <c r="G155" s="795">
        <f t="shared" si="14"/>
        <v>0</v>
      </c>
      <c r="H155" s="795">
        <f t="shared" si="19"/>
        <v>0</v>
      </c>
      <c r="I155" s="795">
        <f t="shared" si="20"/>
        <v>0</v>
      </c>
      <c r="J155" s="795">
        <f t="shared" si="21"/>
        <v>0</v>
      </c>
      <c r="K155" s="108">
        <f t="shared" si="15"/>
        <v>2025</v>
      </c>
      <c r="L155" s="646" t="str">
        <f t="shared" si="16"/>
        <v/>
      </c>
    </row>
    <row r="156" spans="1:12" ht="12.75" customHeight="1">
      <c r="A156" s="645" t="str">
        <f>IF(B156&lt;&gt;"",MAX(A$28:A155)+1,IF(ISNA(HLOOKUP(DATE(YEAR($C$21),MONTH(C156),DAY(C156)),$C$21:$N$21,1,0)),"",MAX(A$28:A155)+1))</f>
        <v/>
      </c>
      <c r="B156" s="91" t="str">
        <f>IF(C156&lt;$K$16,"",IF(ISNA(HLOOKUP(DATE(YEAR($C$20),MONTH($C156),DAY($C156)),$C$20:$N$20,1,0)),"",MAX(B$28:B155)+1))</f>
        <v/>
      </c>
      <c r="C156" s="106">
        <f t="shared" si="22"/>
        <v>45900</v>
      </c>
      <c r="D156" s="795">
        <f t="shared" si="17"/>
        <v>32567.275212008848</v>
      </c>
      <c r="E156" s="795" t="str">
        <f>IF($A156="","",IF($A156=1,D$29*$F156*($C156-$C$28)/$K$17,
(D156*ROUND(($C156-VLOOKUP($A156-1,$A$28:$C156,3,0))/30,0)/12*$F156)
))</f>
        <v/>
      </c>
      <c r="F156" s="107">
        <f t="shared" si="18"/>
        <v>0.06</v>
      </c>
      <c r="G156" s="795">
        <f t="shared" ref="G156:G219" si="23">IF($A$26=1,I156,H156)</f>
        <v>0</v>
      </c>
      <c r="H156" s="795">
        <f t="shared" si="19"/>
        <v>0</v>
      </c>
      <c r="I156" s="795">
        <f t="shared" si="20"/>
        <v>0</v>
      </c>
      <c r="J156" s="795">
        <f t="shared" si="21"/>
        <v>0</v>
      </c>
      <c r="K156" s="108">
        <f t="shared" ref="K156:K219" si="24">YEAR(C156)</f>
        <v>2025</v>
      </c>
      <c r="L156" s="646" t="str">
        <f t="shared" ref="L156:L219" si="25">IF(AND(D156&gt;1,D157&lt;1),C156,"")</f>
        <v/>
      </c>
    </row>
    <row r="157" spans="1:12" ht="12.75" customHeight="1">
      <c r="A157" s="645">
        <f>IF(B157&lt;&gt;"",MAX(A$28:A156)+1,IF(ISNA(HLOOKUP(DATE(YEAR($C$21),MONTH(C157),DAY(C157)),$C$21:$N$21,1,0)),"",MAX(A$28:A156)+1))</f>
        <v>43</v>
      </c>
      <c r="B157" s="91">
        <f>IF(C157&lt;$K$16,"",IF(ISNA(HLOOKUP(DATE(YEAR($C$20),MONTH($C157),DAY($C157)),$C$20:$N$20,1,0)),"",MAX(B$28:B156)+1))</f>
        <v>31</v>
      </c>
      <c r="C157" s="106">
        <f t="shared" si="22"/>
        <v>45930</v>
      </c>
      <c r="D157" s="795">
        <f t="shared" ref="D157:D220" si="26">D156-G156</f>
        <v>32567.275212008848</v>
      </c>
      <c r="E157" s="795">
        <f>IF($A157="","",IF($A157=1,D$29*$F157*($C157-$C$28)/$K$17,
(D157*ROUND(($C157-VLOOKUP($A157-1,$A$28:$C157,3,0))/30,0)/12*$F157)
))</f>
        <v>488.50912818013262</v>
      </c>
      <c r="F157" s="107">
        <f t="shared" ref="F157:F220" si="27">IF(C157&gt;=$E$16,$E$15,$C$15)</f>
        <v>0.06</v>
      </c>
      <c r="G157" s="795">
        <f t="shared" si="23"/>
        <v>675.91748344477605</v>
      </c>
      <c r="H157" s="795">
        <f t="shared" ref="H157:H220" si="28">IF(B157="",0,MIN(D157,$E$14*$K$15/$H$16))</f>
        <v>717.64705882352939</v>
      </c>
      <c r="I157" s="795">
        <f t="shared" ref="I157:I220" si="29">IF(B157="",0,MIN(D156,IF(C157&gt;$E$16,$H$18,$H$15)/$H$16-E157))</f>
        <v>675.91748344477605</v>
      </c>
      <c r="J157" s="795">
        <f t="shared" ref="J157:J220" si="30">SUM(E157,G157)</f>
        <v>1164.4266116249087</v>
      </c>
      <c r="K157" s="108">
        <f t="shared" si="24"/>
        <v>2025</v>
      </c>
      <c r="L157" s="646" t="str">
        <f t="shared" si="25"/>
        <v/>
      </c>
    </row>
    <row r="158" spans="1:12" ht="12.75" customHeight="1">
      <c r="A158" s="645" t="str">
        <f>IF(B158&lt;&gt;"",MAX(A$28:A157)+1,IF(ISNA(HLOOKUP(DATE(YEAR($C$21),MONTH(C158),DAY(C158)),$C$21:$N$21,1,0)),"",MAX(A$28:A157)+1))</f>
        <v/>
      </c>
      <c r="B158" s="91" t="str">
        <f>IF(C158&lt;$K$16,"",IF(ISNA(HLOOKUP(DATE(YEAR($C$20),MONTH($C158),DAY($C158)),$C$20:$N$20,1,0)),"",MAX(B$28:B157)+1))</f>
        <v/>
      </c>
      <c r="C158" s="106">
        <f t="shared" ref="C158:C221" si="31">DATE(YEAR(C157),MONTH(C157)+2,1)-1</f>
        <v>45961</v>
      </c>
      <c r="D158" s="795">
        <f t="shared" si="26"/>
        <v>31891.357728564071</v>
      </c>
      <c r="E158" s="795" t="str">
        <f>IF($A158="","",IF($A158=1,D$29*$F158*($C158-$C$28)/$K$17,
(D158*ROUND(($C158-VLOOKUP($A158-1,$A$28:$C158,3,0))/30,0)/12*$F158)
))</f>
        <v/>
      </c>
      <c r="F158" s="107">
        <f t="shared" si="27"/>
        <v>0.06</v>
      </c>
      <c r="G158" s="795">
        <f t="shared" si="23"/>
        <v>0</v>
      </c>
      <c r="H158" s="795">
        <f t="shared" si="28"/>
        <v>0</v>
      </c>
      <c r="I158" s="795">
        <f t="shared" si="29"/>
        <v>0</v>
      </c>
      <c r="J158" s="795">
        <f t="shared" si="30"/>
        <v>0</v>
      </c>
      <c r="K158" s="108">
        <f t="shared" si="24"/>
        <v>2025</v>
      </c>
      <c r="L158" s="646" t="str">
        <f t="shared" si="25"/>
        <v/>
      </c>
    </row>
    <row r="159" spans="1:12" ht="12.75" customHeight="1">
      <c r="A159" s="645" t="str">
        <f>IF(B159&lt;&gt;"",MAX(A$28:A158)+1,IF(ISNA(HLOOKUP(DATE(YEAR($C$21),MONTH(C159),DAY(C159)),$C$21:$N$21,1,0)),"",MAX(A$28:A158)+1))</f>
        <v/>
      </c>
      <c r="B159" s="91" t="str">
        <f>IF(C159&lt;$K$16,"",IF(ISNA(HLOOKUP(DATE(YEAR($C$20),MONTH($C159),DAY($C159)),$C$20:$N$20,1,0)),"",MAX(B$28:B158)+1))</f>
        <v/>
      </c>
      <c r="C159" s="106">
        <f t="shared" si="31"/>
        <v>45991</v>
      </c>
      <c r="D159" s="795">
        <f t="shared" si="26"/>
        <v>31891.357728564071</v>
      </c>
      <c r="E159" s="795" t="str">
        <f>IF($A159="","",IF($A159=1,D$29*$F159*($C159-$C$28)/$K$17,
(D159*ROUND(($C159-VLOOKUP($A159-1,$A$28:$C159,3,0))/30,0)/12*$F159)
))</f>
        <v/>
      </c>
      <c r="F159" s="107">
        <f t="shared" si="27"/>
        <v>0.06</v>
      </c>
      <c r="G159" s="795">
        <f t="shared" si="23"/>
        <v>0</v>
      </c>
      <c r="H159" s="795">
        <f t="shared" si="28"/>
        <v>0</v>
      </c>
      <c r="I159" s="795">
        <f t="shared" si="29"/>
        <v>0</v>
      </c>
      <c r="J159" s="795">
        <f t="shared" si="30"/>
        <v>0</v>
      </c>
      <c r="K159" s="108">
        <f t="shared" si="24"/>
        <v>2025</v>
      </c>
      <c r="L159" s="646" t="str">
        <f t="shared" si="25"/>
        <v/>
      </c>
    </row>
    <row r="160" spans="1:12" ht="12.75" customHeight="1">
      <c r="A160" s="645">
        <f>IF(B160&lt;&gt;"",MAX(A$28:A159)+1,IF(ISNA(HLOOKUP(DATE(YEAR($C$21),MONTH(C160),DAY(C160)),$C$21:$N$21,1,0)),"",MAX(A$28:A159)+1))</f>
        <v>44</v>
      </c>
      <c r="B160" s="91">
        <f>IF(C160&lt;$K$16,"",IF(ISNA(HLOOKUP(DATE(YEAR($C$20),MONTH($C160),DAY($C160)),$C$20:$N$20,1,0)),"",MAX(B$28:B159)+1))</f>
        <v>32</v>
      </c>
      <c r="C160" s="106">
        <f t="shared" si="31"/>
        <v>46022</v>
      </c>
      <c r="D160" s="795">
        <f t="shared" si="26"/>
        <v>31891.357728564071</v>
      </c>
      <c r="E160" s="795">
        <f>IF($A160="","",IF($A160=1,D$29*$F160*($C160-$C$28)/$K$17,
(D160*ROUND(($C160-VLOOKUP($A160-1,$A$28:$C160,3,0))/30,0)/12*$F160)
))</f>
        <v>478.37036592846113</v>
      </c>
      <c r="F160" s="107">
        <f t="shared" si="27"/>
        <v>0.06</v>
      </c>
      <c r="G160" s="795">
        <f t="shared" si="23"/>
        <v>686.0562456964476</v>
      </c>
      <c r="H160" s="795">
        <f t="shared" si="28"/>
        <v>717.64705882352939</v>
      </c>
      <c r="I160" s="795">
        <f t="shared" si="29"/>
        <v>686.0562456964476</v>
      </c>
      <c r="J160" s="795">
        <f t="shared" si="30"/>
        <v>1164.4266116249087</v>
      </c>
      <c r="K160" s="108">
        <f t="shared" si="24"/>
        <v>2025</v>
      </c>
      <c r="L160" s="646" t="str">
        <f t="shared" si="25"/>
        <v/>
      </c>
    </row>
    <row r="161" spans="1:12" ht="12.75" customHeight="1">
      <c r="A161" s="645" t="str">
        <f>IF(B161&lt;&gt;"",MAX(A$28:A160)+1,IF(ISNA(HLOOKUP(DATE(YEAR($C$21),MONTH(C161),DAY(C161)),$C$21:$N$21,1,0)),"",MAX(A$28:A160)+1))</f>
        <v/>
      </c>
      <c r="B161" s="91" t="str">
        <f>IF(C161&lt;$K$16,"",IF(ISNA(HLOOKUP(DATE(YEAR($C$20),MONTH($C161),DAY($C161)),$C$20:$N$20,1,0)),"",MAX(B$28:B160)+1))</f>
        <v/>
      </c>
      <c r="C161" s="106">
        <f t="shared" si="31"/>
        <v>46053</v>
      </c>
      <c r="D161" s="795">
        <f t="shared" si="26"/>
        <v>31205.301482867624</v>
      </c>
      <c r="E161" s="795" t="str">
        <f>IF($A161="","",IF($A161=1,D$29*$F161*($C161-$C$28)/$K$17,
(D161*ROUND(($C161-VLOOKUP($A161-1,$A$28:$C161,3,0))/30,0)/12*$F161)
))</f>
        <v/>
      </c>
      <c r="F161" s="107">
        <f t="shared" si="27"/>
        <v>0.06</v>
      </c>
      <c r="G161" s="795">
        <f t="shared" si="23"/>
        <v>0</v>
      </c>
      <c r="H161" s="795">
        <f t="shared" si="28"/>
        <v>0</v>
      </c>
      <c r="I161" s="795">
        <f t="shared" si="29"/>
        <v>0</v>
      </c>
      <c r="J161" s="795">
        <f t="shared" si="30"/>
        <v>0</v>
      </c>
      <c r="K161" s="108">
        <f t="shared" si="24"/>
        <v>2026</v>
      </c>
      <c r="L161" s="646" t="str">
        <f t="shared" si="25"/>
        <v/>
      </c>
    </row>
    <row r="162" spans="1:12" ht="12.75" customHeight="1">
      <c r="A162" s="645" t="str">
        <f>IF(B162&lt;&gt;"",MAX(A$28:A161)+1,IF(ISNA(HLOOKUP(DATE(YEAR($C$21),MONTH(C162),DAY(C162)),$C$21:$N$21,1,0)),"",MAX(A$28:A161)+1))</f>
        <v/>
      </c>
      <c r="B162" s="91" t="str">
        <f>IF(C162&lt;$K$16,"",IF(ISNA(HLOOKUP(DATE(YEAR($C$20),MONTH($C162),DAY($C162)),$C$20:$N$20,1,0)),"",MAX(B$28:B161)+1))</f>
        <v/>
      </c>
      <c r="C162" s="106">
        <f t="shared" si="31"/>
        <v>46081</v>
      </c>
      <c r="D162" s="795">
        <f t="shared" si="26"/>
        <v>31205.301482867624</v>
      </c>
      <c r="E162" s="795" t="str">
        <f>IF($A162="","",IF($A162=1,D$29*$F162*($C162-$C$28)/$K$17,
(D162*ROUND(($C162-VLOOKUP($A162-1,$A$28:$C162,3,0))/30,0)/12*$F162)
))</f>
        <v/>
      </c>
      <c r="F162" s="107">
        <f t="shared" si="27"/>
        <v>0.06</v>
      </c>
      <c r="G162" s="795">
        <f t="shared" si="23"/>
        <v>0</v>
      </c>
      <c r="H162" s="795">
        <f t="shared" si="28"/>
        <v>0</v>
      </c>
      <c r="I162" s="795">
        <f t="shared" si="29"/>
        <v>0</v>
      </c>
      <c r="J162" s="795">
        <f t="shared" si="30"/>
        <v>0</v>
      </c>
      <c r="K162" s="108">
        <f t="shared" si="24"/>
        <v>2026</v>
      </c>
      <c r="L162" s="646" t="str">
        <f t="shared" si="25"/>
        <v/>
      </c>
    </row>
    <row r="163" spans="1:12" ht="12.75" customHeight="1">
      <c r="A163" s="645">
        <f>IF(B163&lt;&gt;"",MAX(A$28:A162)+1,IF(ISNA(HLOOKUP(DATE(YEAR($C$21),MONTH(C163),DAY(C163)),$C$21:$N$21,1,0)),"",MAX(A$28:A162)+1))</f>
        <v>45</v>
      </c>
      <c r="B163" s="91">
        <f>IF(C163&lt;$K$16,"",IF(ISNA(HLOOKUP(DATE(YEAR($C$20),MONTH($C163),DAY($C163)),$C$20:$N$20,1,0)),"",MAX(B$28:B162)+1))</f>
        <v>33</v>
      </c>
      <c r="C163" s="106">
        <f t="shared" si="31"/>
        <v>46112</v>
      </c>
      <c r="D163" s="795">
        <f t="shared" si="26"/>
        <v>31205.301482867624</v>
      </c>
      <c r="E163" s="795">
        <f>IF($A163="","",IF($A163=1,D$29*$F163*($C163-$C$28)/$K$17,
(D163*ROUND(($C163-VLOOKUP($A163-1,$A$28:$C163,3,0))/30,0)/12*$F163)
))</f>
        <v>468.07952224301437</v>
      </c>
      <c r="F163" s="107">
        <f t="shared" si="27"/>
        <v>0.06</v>
      </c>
      <c r="G163" s="795">
        <f t="shared" si="23"/>
        <v>696.34708938189431</v>
      </c>
      <c r="H163" s="795">
        <f t="shared" si="28"/>
        <v>717.64705882352939</v>
      </c>
      <c r="I163" s="795">
        <f t="shared" si="29"/>
        <v>696.34708938189431</v>
      </c>
      <c r="J163" s="795">
        <f t="shared" si="30"/>
        <v>1164.4266116249087</v>
      </c>
      <c r="K163" s="108">
        <f t="shared" si="24"/>
        <v>2026</v>
      </c>
      <c r="L163" s="646" t="str">
        <f t="shared" si="25"/>
        <v/>
      </c>
    </row>
    <row r="164" spans="1:12" ht="12.75" customHeight="1">
      <c r="A164" s="645" t="str">
        <f>IF(B164&lt;&gt;"",MAX(A$28:A163)+1,IF(ISNA(HLOOKUP(DATE(YEAR($C$21),MONTH(C164),DAY(C164)),$C$21:$N$21,1,0)),"",MAX(A$28:A163)+1))</f>
        <v/>
      </c>
      <c r="B164" s="91" t="str">
        <f>IF(C164&lt;$K$16,"",IF(ISNA(HLOOKUP(DATE(YEAR($C$20),MONTH($C164),DAY($C164)),$C$20:$N$20,1,0)),"",MAX(B$28:B163)+1))</f>
        <v/>
      </c>
      <c r="C164" s="106">
        <f t="shared" si="31"/>
        <v>46142</v>
      </c>
      <c r="D164" s="795">
        <f t="shared" si="26"/>
        <v>30508.954393485728</v>
      </c>
      <c r="E164" s="795" t="str">
        <f>IF($A164="","",IF($A164=1,D$29*$F164*($C164-$C$28)/$K$17,
(D164*ROUND(($C164-VLOOKUP($A164-1,$A$28:$C164,3,0))/30,0)/12*$F164)
))</f>
        <v/>
      </c>
      <c r="F164" s="107">
        <f t="shared" si="27"/>
        <v>0.06</v>
      </c>
      <c r="G164" s="795">
        <f t="shared" si="23"/>
        <v>0</v>
      </c>
      <c r="H164" s="795">
        <f t="shared" si="28"/>
        <v>0</v>
      </c>
      <c r="I164" s="795">
        <f t="shared" si="29"/>
        <v>0</v>
      </c>
      <c r="J164" s="795">
        <f t="shared" si="30"/>
        <v>0</v>
      </c>
      <c r="K164" s="108">
        <f t="shared" si="24"/>
        <v>2026</v>
      </c>
      <c r="L164" s="646" t="str">
        <f t="shared" si="25"/>
        <v/>
      </c>
    </row>
    <row r="165" spans="1:12" ht="12.75" customHeight="1">
      <c r="A165" s="645" t="str">
        <f>IF(B165&lt;&gt;"",MAX(A$28:A164)+1,IF(ISNA(HLOOKUP(DATE(YEAR($C$21),MONTH(C165),DAY(C165)),$C$21:$N$21,1,0)),"",MAX(A$28:A164)+1))</f>
        <v/>
      </c>
      <c r="B165" s="91" t="str">
        <f>IF(C165&lt;$K$16,"",IF(ISNA(HLOOKUP(DATE(YEAR($C$20),MONTH($C165),DAY($C165)),$C$20:$N$20,1,0)),"",MAX(B$28:B164)+1))</f>
        <v/>
      </c>
      <c r="C165" s="106">
        <f t="shared" si="31"/>
        <v>46173</v>
      </c>
      <c r="D165" s="795">
        <f t="shared" si="26"/>
        <v>30508.954393485728</v>
      </c>
      <c r="E165" s="795" t="str">
        <f>IF($A165="","",IF($A165=1,D$29*$F165*($C165-$C$28)/$K$17,
(D165*ROUND(($C165-VLOOKUP($A165-1,$A$28:$C165,3,0))/30,0)/12*$F165)
))</f>
        <v/>
      </c>
      <c r="F165" s="107">
        <f t="shared" si="27"/>
        <v>0.06</v>
      </c>
      <c r="G165" s="795">
        <f t="shared" si="23"/>
        <v>0</v>
      </c>
      <c r="H165" s="795">
        <f t="shared" si="28"/>
        <v>0</v>
      </c>
      <c r="I165" s="795">
        <f t="shared" si="29"/>
        <v>0</v>
      </c>
      <c r="J165" s="795">
        <f t="shared" si="30"/>
        <v>0</v>
      </c>
      <c r="K165" s="108">
        <f t="shared" si="24"/>
        <v>2026</v>
      </c>
      <c r="L165" s="646" t="str">
        <f t="shared" si="25"/>
        <v/>
      </c>
    </row>
    <row r="166" spans="1:12" ht="12.75" customHeight="1">
      <c r="A166" s="645">
        <f>IF(B166&lt;&gt;"",MAX(A$28:A165)+1,IF(ISNA(HLOOKUP(DATE(YEAR($C$21),MONTH(C166),DAY(C166)),$C$21:$N$21,1,0)),"",MAX(A$28:A165)+1))</f>
        <v>46</v>
      </c>
      <c r="B166" s="91">
        <f>IF(C166&lt;$K$16,"",IF(ISNA(HLOOKUP(DATE(YEAR($C$20),MONTH($C166),DAY($C166)),$C$20:$N$20,1,0)),"",MAX(B$28:B165)+1))</f>
        <v>34</v>
      </c>
      <c r="C166" s="106">
        <f t="shared" si="31"/>
        <v>46203</v>
      </c>
      <c r="D166" s="795">
        <f t="shared" si="26"/>
        <v>30508.954393485728</v>
      </c>
      <c r="E166" s="795">
        <f>IF($A166="","",IF($A166=1,D$29*$F166*($C166-$C$28)/$K$17,
(D166*ROUND(($C166-VLOOKUP($A166-1,$A$28:$C166,3,0))/30,0)/12*$F166)
))</f>
        <v>457.63431590228583</v>
      </c>
      <c r="F166" s="107">
        <f t="shared" si="27"/>
        <v>0.06</v>
      </c>
      <c r="G166" s="795">
        <f t="shared" si="23"/>
        <v>706.79229572262284</v>
      </c>
      <c r="H166" s="795">
        <f t="shared" si="28"/>
        <v>717.64705882352939</v>
      </c>
      <c r="I166" s="795">
        <f t="shared" si="29"/>
        <v>706.79229572262284</v>
      </c>
      <c r="J166" s="795">
        <f t="shared" si="30"/>
        <v>1164.4266116249087</v>
      </c>
      <c r="K166" s="108">
        <f t="shared" si="24"/>
        <v>2026</v>
      </c>
      <c r="L166" s="646" t="str">
        <f t="shared" si="25"/>
        <v/>
      </c>
    </row>
    <row r="167" spans="1:12" ht="12.75" customHeight="1">
      <c r="A167" s="645" t="str">
        <f>IF(B167&lt;&gt;"",MAX(A$28:A166)+1,IF(ISNA(HLOOKUP(DATE(YEAR($C$21),MONTH(C167),DAY(C167)),$C$21:$N$21,1,0)),"",MAX(A$28:A166)+1))</f>
        <v/>
      </c>
      <c r="B167" s="91" t="str">
        <f>IF(C167&lt;$K$16,"",IF(ISNA(HLOOKUP(DATE(YEAR($C$20),MONTH($C167),DAY($C167)),$C$20:$N$20,1,0)),"",MAX(B$28:B166)+1))</f>
        <v/>
      </c>
      <c r="C167" s="106">
        <f t="shared" si="31"/>
        <v>46234</v>
      </c>
      <c r="D167" s="795">
        <f t="shared" si="26"/>
        <v>29802.162097763106</v>
      </c>
      <c r="E167" s="795" t="str">
        <f>IF($A167="","",IF($A167=1,D$29*$F167*($C167-$C$28)/$K$17,
(D167*ROUND(($C167-VLOOKUP($A167-1,$A$28:$C167,3,0))/30,0)/12*$F167)
))</f>
        <v/>
      </c>
      <c r="F167" s="107">
        <f t="shared" si="27"/>
        <v>0.06</v>
      </c>
      <c r="G167" s="795">
        <f t="shared" si="23"/>
        <v>0</v>
      </c>
      <c r="H167" s="795">
        <f t="shared" si="28"/>
        <v>0</v>
      </c>
      <c r="I167" s="795">
        <f t="shared" si="29"/>
        <v>0</v>
      </c>
      <c r="J167" s="795">
        <f t="shared" si="30"/>
        <v>0</v>
      </c>
      <c r="K167" s="108">
        <f t="shared" si="24"/>
        <v>2026</v>
      </c>
      <c r="L167" s="646" t="str">
        <f t="shared" si="25"/>
        <v/>
      </c>
    </row>
    <row r="168" spans="1:12" ht="12.75" customHeight="1">
      <c r="A168" s="645" t="str">
        <f>IF(B168&lt;&gt;"",MAX(A$28:A167)+1,IF(ISNA(HLOOKUP(DATE(YEAR($C$21),MONTH(C168),DAY(C168)),$C$21:$N$21,1,0)),"",MAX(A$28:A167)+1))</f>
        <v/>
      </c>
      <c r="B168" s="91" t="str">
        <f>IF(C168&lt;$K$16,"",IF(ISNA(HLOOKUP(DATE(YEAR($C$20),MONTH($C168),DAY($C168)),$C$20:$N$20,1,0)),"",MAX(B$28:B167)+1))</f>
        <v/>
      </c>
      <c r="C168" s="106">
        <f t="shared" si="31"/>
        <v>46265</v>
      </c>
      <c r="D168" s="795">
        <f t="shared" si="26"/>
        <v>29802.162097763106</v>
      </c>
      <c r="E168" s="795" t="str">
        <f>IF($A168="","",IF($A168=1,D$29*$F168*($C168-$C$28)/$K$17,
(D168*ROUND(($C168-VLOOKUP($A168-1,$A$28:$C168,3,0))/30,0)/12*$F168)
))</f>
        <v/>
      </c>
      <c r="F168" s="107">
        <f t="shared" si="27"/>
        <v>0.06</v>
      </c>
      <c r="G168" s="795">
        <f t="shared" si="23"/>
        <v>0</v>
      </c>
      <c r="H168" s="795">
        <f t="shared" si="28"/>
        <v>0</v>
      </c>
      <c r="I168" s="795">
        <f t="shared" si="29"/>
        <v>0</v>
      </c>
      <c r="J168" s="795">
        <f t="shared" si="30"/>
        <v>0</v>
      </c>
      <c r="K168" s="108">
        <f t="shared" si="24"/>
        <v>2026</v>
      </c>
      <c r="L168" s="646" t="str">
        <f t="shared" si="25"/>
        <v/>
      </c>
    </row>
    <row r="169" spans="1:12" ht="12.75" customHeight="1">
      <c r="A169" s="645">
        <f>IF(B169&lt;&gt;"",MAX(A$28:A168)+1,IF(ISNA(HLOOKUP(DATE(YEAR($C$21),MONTH(C169),DAY(C169)),$C$21:$N$21,1,0)),"",MAX(A$28:A168)+1))</f>
        <v>47</v>
      </c>
      <c r="B169" s="91">
        <f>IF(C169&lt;$K$16,"",IF(ISNA(HLOOKUP(DATE(YEAR($C$20),MONTH($C169),DAY($C169)),$C$20:$N$20,1,0)),"",MAX(B$28:B168)+1))</f>
        <v>35</v>
      </c>
      <c r="C169" s="106">
        <f t="shared" si="31"/>
        <v>46295</v>
      </c>
      <c r="D169" s="795">
        <f t="shared" si="26"/>
        <v>29802.162097763106</v>
      </c>
      <c r="E169" s="795">
        <f>IF($A169="","",IF($A169=1,D$29*$F169*($C169-$C$28)/$K$17,
(D169*ROUND(($C169-VLOOKUP($A169-1,$A$28:$C169,3,0))/30,0)/12*$F169)
))</f>
        <v>447.03243146644655</v>
      </c>
      <c r="F169" s="107">
        <f t="shared" si="27"/>
        <v>0.06</v>
      </c>
      <c r="G169" s="795">
        <f t="shared" si="23"/>
        <v>717.39418015846218</v>
      </c>
      <c r="H169" s="795">
        <f t="shared" si="28"/>
        <v>717.64705882352939</v>
      </c>
      <c r="I169" s="795">
        <f t="shared" si="29"/>
        <v>717.39418015846218</v>
      </c>
      <c r="J169" s="795">
        <f t="shared" si="30"/>
        <v>1164.4266116249087</v>
      </c>
      <c r="K169" s="108">
        <f t="shared" si="24"/>
        <v>2026</v>
      </c>
      <c r="L169" s="646" t="str">
        <f t="shared" si="25"/>
        <v/>
      </c>
    </row>
    <row r="170" spans="1:12" ht="12.75" customHeight="1">
      <c r="A170" s="645" t="str">
        <f>IF(B170&lt;&gt;"",MAX(A$28:A169)+1,IF(ISNA(HLOOKUP(DATE(YEAR($C$21),MONTH(C170),DAY(C170)),$C$21:$N$21,1,0)),"",MAX(A$28:A169)+1))</f>
        <v/>
      </c>
      <c r="B170" s="91" t="str">
        <f>IF(C170&lt;$K$16,"",IF(ISNA(HLOOKUP(DATE(YEAR($C$20),MONTH($C170),DAY($C170)),$C$20:$N$20,1,0)),"",MAX(B$28:B169)+1))</f>
        <v/>
      </c>
      <c r="C170" s="106">
        <f t="shared" si="31"/>
        <v>46326</v>
      </c>
      <c r="D170" s="795">
        <f t="shared" si="26"/>
        <v>29084.767917604644</v>
      </c>
      <c r="E170" s="795" t="str">
        <f>IF($A170="","",IF($A170=1,D$29*$F170*($C170-$C$28)/$K$17,
(D170*ROUND(($C170-VLOOKUP($A170-1,$A$28:$C170,3,0))/30,0)/12*$F170)
))</f>
        <v/>
      </c>
      <c r="F170" s="107">
        <f t="shared" si="27"/>
        <v>0.06</v>
      </c>
      <c r="G170" s="795">
        <f t="shared" si="23"/>
        <v>0</v>
      </c>
      <c r="H170" s="795">
        <f t="shared" si="28"/>
        <v>0</v>
      </c>
      <c r="I170" s="795">
        <f t="shared" si="29"/>
        <v>0</v>
      </c>
      <c r="J170" s="795">
        <f t="shared" si="30"/>
        <v>0</v>
      </c>
      <c r="K170" s="108">
        <f t="shared" si="24"/>
        <v>2026</v>
      </c>
      <c r="L170" s="646" t="str">
        <f t="shared" si="25"/>
        <v/>
      </c>
    </row>
    <row r="171" spans="1:12" ht="12.75" customHeight="1">
      <c r="A171" s="645" t="str">
        <f>IF(B171&lt;&gt;"",MAX(A$28:A170)+1,IF(ISNA(HLOOKUP(DATE(YEAR($C$21),MONTH(C171),DAY(C171)),$C$21:$N$21,1,0)),"",MAX(A$28:A170)+1))</f>
        <v/>
      </c>
      <c r="B171" s="91" t="str">
        <f>IF(C171&lt;$K$16,"",IF(ISNA(HLOOKUP(DATE(YEAR($C$20),MONTH($C171),DAY($C171)),$C$20:$N$20,1,0)),"",MAX(B$28:B170)+1))</f>
        <v/>
      </c>
      <c r="C171" s="106">
        <f t="shared" si="31"/>
        <v>46356</v>
      </c>
      <c r="D171" s="795">
        <f t="shared" si="26"/>
        <v>29084.767917604644</v>
      </c>
      <c r="E171" s="795" t="str">
        <f>IF($A171="","",IF($A171=1,D$29*$F171*($C171-$C$28)/$K$17,
(D171*ROUND(($C171-VLOOKUP($A171-1,$A$28:$C171,3,0))/30,0)/12*$F171)
))</f>
        <v/>
      </c>
      <c r="F171" s="107">
        <f t="shared" si="27"/>
        <v>0.06</v>
      </c>
      <c r="G171" s="795">
        <f t="shared" si="23"/>
        <v>0</v>
      </c>
      <c r="H171" s="795">
        <f t="shared" si="28"/>
        <v>0</v>
      </c>
      <c r="I171" s="795">
        <f t="shared" si="29"/>
        <v>0</v>
      </c>
      <c r="J171" s="795">
        <f t="shared" si="30"/>
        <v>0</v>
      </c>
      <c r="K171" s="108">
        <f t="shared" si="24"/>
        <v>2026</v>
      </c>
      <c r="L171" s="646" t="str">
        <f t="shared" si="25"/>
        <v/>
      </c>
    </row>
    <row r="172" spans="1:12" ht="12.75" customHeight="1">
      <c r="A172" s="645">
        <f>IF(B172&lt;&gt;"",MAX(A$28:A171)+1,IF(ISNA(HLOOKUP(DATE(YEAR($C$21),MONTH(C172),DAY(C172)),$C$21:$N$21,1,0)),"",MAX(A$28:A171)+1))</f>
        <v>48</v>
      </c>
      <c r="B172" s="91">
        <f>IF(C172&lt;$K$16,"",IF(ISNA(HLOOKUP(DATE(YEAR($C$20),MONTH($C172),DAY($C172)),$C$20:$N$20,1,0)),"",MAX(B$28:B171)+1))</f>
        <v>36</v>
      </c>
      <c r="C172" s="106">
        <f t="shared" si="31"/>
        <v>46387</v>
      </c>
      <c r="D172" s="795">
        <f t="shared" si="26"/>
        <v>29084.767917604644</v>
      </c>
      <c r="E172" s="795">
        <f>IF($A172="","",IF($A172=1,D$29*$F172*($C172-$C$28)/$K$17,
(D172*ROUND(($C172-VLOOKUP($A172-1,$A$28:$C172,3,0))/30,0)/12*$F172)
))</f>
        <v>436.27151876406958</v>
      </c>
      <c r="F172" s="107">
        <f t="shared" si="27"/>
        <v>0.06</v>
      </c>
      <c r="G172" s="795">
        <f t="shared" si="23"/>
        <v>728.15509286083909</v>
      </c>
      <c r="H172" s="795">
        <f t="shared" si="28"/>
        <v>717.64705882352939</v>
      </c>
      <c r="I172" s="795">
        <f t="shared" si="29"/>
        <v>728.15509286083909</v>
      </c>
      <c r="J172" s="795">
        <f t="shared" si="30"/>
        <v>1164.4266116249087</v>
      </c>
      <c r="K172" s="108">
        <f t="shared" si="24"/>
        <v>2026</v>
      </c>
      <c r="L172" s="646" t="str">
        <f t="shared" si="25"/>
        <v/>
      </c>
    </row>
    <row r="173" spans="1:12" ht="12.75" customHeight="1">
      <c r="A173" s="645" t="str">
        <f>IF(B173&lt;&gt;"",MAX(A$28:A172)+1,IF(ISNA(HLOOKUP(DATE(YEAR($C$21),MONTH(C173),DAY(C173)),$C$21:$N$21,1,0)),"",MAX(A$28:A172)+1))</f>
        <v/>
      </c>
      <c r="B173" s="91" t="str">
        <f>IF(C173&lt;$K$16,"",IF(ISNA(HLOOKUP(DATE(YEAR($C$20),MONTH($C173),DAY($C173)),$C$20:$N$20,1,0)),"",MAX(B$28:B172)+1))</f>
        <v/>
      </c>
      <c r="C173" s="106">
        <f t="shared" si="31"/>
        <v>46418</v>
      </c>
      <c r="D173" s="795">
        <f t="shared" si="26"/>
        <v>28356.612824743806</v>
      </c>
      <c r="E173" s="795" t="str">
        <f>IF($A173="","",IF($A173=1,D$29*$F173*($C173-$C$28)/$K$17,
(D173*ROUND(($C173-VLOOKUP($A173-1,$A$28:$C173,3,0))/30,0)/12*$F173)
))</f>
        <v/>
      </c>
      <c r="F173" s="107">
        <f t="shared" si="27"/>
        <v>0.06</v>
      </c>
      <c r="G173" s="795">
        <f t="shared" si="23"/>
        <v>0</v>
      </c>
      <c r="H173" s="795">
        <f t="shared" si="28"/>
        <v>0</v>
      </c>
      <c r="I173" s="795">
        <f t="shared" si="29"/>
        <v>0</v>
      </c>
      <c r="J173" s="795">
        <f t="shared" si="30"/>
        <v>0</v>
      </c>
      <c r="K173" s="108">
        <f t="shared" si="24"/>
        <v>2027</v>
      </c>
      <c r="L173" s="646" t="str">
        <f t="shared" si="25"/>
        <v/>
      </c>
    </row>
    <row r="174" spans="1:12" ht="12.75" customHeight="1">
      <c r="A174" s="645" t="str">
        <f>IF(B174&lt;&gt;"",MAX(A$28:A173)+1,IF(ISNA(HLOOKUP(DATE(YEAR($C$21),MONTH(C174),DAY(C174)),$C$21:$N$21,1,0)),"",MAX(A$28:A173)+1))</f>
        <v/>
      </c>
      <c r="B174" s="91" t="str">
        <f>IF(C174&lt;$K$16,"",IF(ISNA(HLOOKUP(DATE(YEAR($C$20),MONTH($C174),DAY($C174)),$C$20:$N$20,1,0)),"",MAX(B$28:B173)+1))</f>
        <v/>
      </c>
      <c r="C174" s="106">
        <f t="shared" si="31"/>
        <v>46446</v>
      </c>
      <c r="D174" s="795">
        <f t="shared" si="26"/>
        <v>28356.612824743806</v>
      </c>
      <c r="E174" s="795" t="str">
        <f>IF($A174="","",IF($A174=1,D$29*$F174*($C174-$C$28)/$K$17,
(D174*ROUND(($C174-VLOOKUP($A174-1,$A$28:$C174,3,0))/30,0)/12*$F174)
))</f>
        <v/>
      </c>
      <c r="F174" s="107">
        <f t="shared" si="27"/>
        <v>0.06</v>
      </c>
      <c r="G174" s="795">
        <f t="shared" si="23"/>
        <v>0</v>
      </c>
      <c r="H174" s="795">
        <f t="shared" si="28"/>
        <v>0</v>
      </c>
      <c r="I174" s="795">
        <f t="shared" si="29"/>
        <v>0</v>
      </c>
      <c r="J174" s="795">
        <f t="shared" si="30"/>
        <v>0</v>
      </c>
      <c r="K174" s="108">
        <f t="shared" si="24"/>
        <v>2027</v>
      </c>
      <c r="L174" s="646" t="str">
        <f t="shared" si="25"/>
        <v/>
      </c>
    </row>
    <row r="175" spans="1:12" ht="12.75" customHeight="1">
      <c r="A175" s="645">
        <f>IF(B175&lt;&gt;"",MAX(A$28:A174)+1,IF(ISNA(HLOOKUP(DATE(YEAR($C$21),MONTH(C175),DAY(C175)),$C$21:$N$21,1,0)),"",MAX(A$28:A174)+1))</f>
        <v>49</v>
      </c>
      <c r="B175" s="91">
        <f>IF(C175&lt;$K$16,"",IF(ISNA(HLOOKUP(DATE(YEAR($C$20),MONTH($C175),DAY($C175)),$C$20:$N$20,1,0)),"",MAX(B$28:B174)+1))</f>
        <v>37</v>
      </c>
      <c r="C175" s="106">
        <f t="shared" si="31"/>
        <v>46477</v>
      </c>
      <c r="D175" s="795">
        <f t="shared" si="26"/>
        <v>28356.612824743806</v>
      </c>
      <c r="E175" s="795">
        <f>IF($A175="","",IF($A175=1,D$29*$F175*($C175-$C$28)/$K$17,
(D175*ROUND(($C175-VLOOKUP($A175-1,$A$28:$C175,3,0))/30,0)/12*$F175)
))</f>
        <v>425.34919237115707</v>
      </c>
      <c r="F175" s="107">
        <f t="shared" si="27"/>
        <v>0.06</v>
      </c>
      <c r="G175" s="795">
        <f t="shared" si="23"/>
        <v>739.0774192537516</v>
      </c>
      <c r="H175" s="795">
        <f t="shared" si="28"/>
        <v>717.64705882352939</v>
      </c>
      <c r="I175" s="795">
        <f t="shared" si="29"/>
        <v>739.0774192537516</v>
      </c>
      <c r="J175" s="795">
        <f t="shared" si="30"/>
        <v>1164.4266116249087</v>
      </c>
      <c r="K175" s="108">
        <f t="shared" si="24"/>
        <v>2027</v>
      </c>
      <c r="L175" s="646" t="str">
        <f t="shared" si="25"/>
        <v/>
      </c>
    </row>
    <row r="176" spans="1:12" ht="12.75" customHeight="1">
      <c r="A176" s="645" t="str">
        <f>IF(B176&lt;&gt;"",MAX(A$28:A175)+1,IF(ISNA(HLOOKUP(DATE(YEAR($C$21),MONTH(C176),DAY(C176)),$C$21:$N$21,1,0)),"",MAX(A$28:A175)+1))</f>
        <v/>
      </c>
      <c r="B176" s="91" t="str">
        <f>IF(C176&lt;$K$16,"",IF(ISNA(HLOOKUP(DATE(YEAR($C$20),MONTH($C176),DAY($C176)),$C$20:$N$20,1,0)),"",MAX(B$28:B175)+1))</f>
        <v/>
      </c>
      <c r="C176" s="106">
        <f t="shared" si="31"/>
        <v>46507</v>
      </c>
      <c r="D176" s="795">
        <f t="shared" si="26"/>
        <v>27617.535405490056</v>
      </c>
      <c r="E176" s="795" t="str">
        <f>IF($A176="","",IF($A176=1,D$29*$F176*($C176-$C$28)/$K$17,
(D176*ROUND(($C176-VLOOKUP($A176-1,$A$28:$C176,3,0))/30,0)/12*$F176)
))</f>
        <v/>
      </c>
      <c r="F176" s="107">
        <f t="shared" si="27"/>
        <v>0.06</v>
      </c>
      <c r="G176" s="795">
        <f t="shared" si="23"/>
        <v>0</v>
      </c>
      <c r="H176" s="795">
        <f t="shared" si="28"/>
        <v>0</v>
      </c>
      <c r="I176" s="795">
        <f t="shared" si="29"/>
        <v>0</v>
      </c>
      <c r="J176" s="795">
        <f t="shared" si="30"/>
        <v>0</v>
      </c>
      <c r="K176" s="108">
        <f t="shared" si="24"/>
        <v>2027</v>
      </c>
      <c r="L176" s="646" t="str">
        <f t="shared" si="25"/>
        <v/>
      </c>
    </row>
    <row r="177" spans="1:12" ht="12.75" customHeight="1">
      <c r="A177" s="645" t="str">
        <f>IF(B177&lt;&gt;"",MAX(A$28:A176)+1,IF(ISNA(HLOOKUP(DATE(YEAR($C$21),MONTH(C177),DAY(C177)),$C$21:$N$21,1,0)),"",MAX(A$28:A176)+1))</f>
        <v/>
      </c>
      <c r="B177" s="91" t="str">
        <f>IF(C177&lt;$K$16,"",IF(ISNA(HLOOKUP(DATE(YEAR($C$20),MONTH($C177),DAY($C177)),$C$20:$N$20,1,0)),"",MAX(B$28:B176)+1))</f>
        <v/>
      </c>
      <c r="C177" s="106">
        <f t="shared" si="31"/>
        <v>46538</v>
      </c>
      <c r="D177" s="795">
        <f t="shared" si="26"/>
        <v>27617.535405490056</v>
      </c>
      <c r="E177" s="795" t="str">
        <f>IF($A177="","",IF($A177=1,D$29*$F177*($C177-$C$28)/$K$17,
(D177*ROUND(($C177-VLOOKUP($A177-1,$A$28:$C177,3,0))/30,0)/12*$F177)
))</f>
        <v/>
      </c>
      <c r="F177" s="107">
        <f t="shared" si="27"/>
        <v>0.06</v>
      </c>
      <c r="G177" s="795">
        <f t="shared" si="23"/>
        <v>0</v>
      </c>
      <c r="H177" s="795">
        <f t="shared" si="28"/>
        <v>0</v>
      </c>
      <c r="I177" s="795">
        <f t="shared" si="29"/>
        <v>0</v>
      </c>
      <c r="J177" s="795">
        <f t="shared" si="30"/>
        <v>0</v>
      </c>
      <c r="K177" s="108">
        <f t="shared" si="24"/>
        <v>2027</v>
      </c>
      <c r="L177" s="646" t="str">
        <f t="shared" si="25"/>
        <v/>
      </c>
    </row>
    <row r="178" spans="1:12" ht="12.75" customHeight="1">
      <c r="A178" s="645">
        <f>IF(B178&lt;&gt;"",MAX(A$28:A177)+1,IF(ISNA(HLOOKUP(DATE(YEAR($C$21),MONTH(C178),DAY(C178)),$C$21:$N$21,1,0)),"",MAX(A$28:A177)+1))</f>
        <v>50</v>
      </c>
      <c r="B178" s="91">
        <f>IF(C178&lt;$K$16,"",IF(ISNA(HLOOKUP(DATE(YEAR($C$20),MONTH($C178),DAY($C178)),$C$20:$N$20,1,0)),"",MAX(B$28:B177)+1))</f>
        <v>38</v>
      </c>
      <c r="C178" s="106">
        <f t="shared" si="31"/>
        <v>46568</v>
      </c>
      <c r="D178" s="795">
        <f t="shared" si="26"/>
        <v>27617.535405490056</v>
      </c>
      <c r="E178" s="795">
        <f>IF($A178="","",IF($A178=1,D$29*$F178*($C178-$C$28)/$K$17,
(D178*ROUND(($C178-VLOOKUP($A178-1,$A$28:$C178,3,0))/30,0)/12*$F178)
))</f>
        <v>414.26303108235084</v>
      </c>
      <c r="F178" s="107">
        <f t="shared" si="27"/>
        <v>0.06</v>
      </c>
      <c r="G178" s="795">
        <f t="shared" si="23"/>
        <v>750.16358054255784</v>
      </c>
      <c r="H178" s="795">
        <f t="shared" si="28"/>
        <v>717.64705882352939</v>
      </c>
      <c r="I178" s="795">
        <f t="shared" si="29"/>
        <v>750.16358054255784</v>
      </c>
      <c r="J178" s="795">
        <f t="shared" si="30"/>
        <v>1164.4266116249087</v>
      </c>
      <c r="K178" s="108">
        <f t="shared" si="24"/>
        <v>2027</v>
      </c>
      <c r="L178" s="646" t="str">
        <f t="shared" si="25"/>
        <v/>
      </c>
    </row>
    <row r="179" spans="1:12" ht="12.75" customHeight="1">
      <c r="A179" s="645" t="str">
        <f>IF(B179&lt;&gt;"",MAX(A$28:A178)+1,IF(ISNA(HLOOKUP(DATE(YEAR($C$21),MONTH(C179),DAY(C179)),$C$21:$N$21,1,0)),"",MAX(A$28:A178)+1))</f>
        <v/>
      </c>
      <c r="B179" s="91" t="str">
        <f>IF(C179&lt;$K$16,"",IF(ISNA(HLOOKUP(DATE(YEAR($C$20),MONTH($C179),DAY($C179)),$C$20:$N$20,1,0)),"",MAX(B$28:B178)+1))</f>
        <v/>
      </c>
      <c r="C179" s="106">
        <f t="shared" si="31"/>
        <v>46599</v>
      </c>
      <c r="D179" s="795">
        <f t="shared" si="26"/>
        <v>26867.371824947499</v>
      </c>
      <c r="E179" s="795" t="str">
        <f>IF($A179="","",IF($A179=1,D$29*$F179*($C179-$C$28)/$K$17,
(D179*ROUND(($C179-VLOOKUP($A179-1,$A$28:$C179,3,0))/30,0)/12*$F179)
))</f>
        <v/>
      </c>
      <c r="F179" s="107">
        <f t="shared" si="27"/>
        <v>0.06</v>
      </c>
      <c r="G179" s="795">
        <f t="shared" si="23"/>
        <v>0</v>
      </c>
      <c r="H179" s="795">
        <f t="shared" si="28"/>
        <v>0</v>
      </c>
      <c r="I179" s="795">
        <f t="shared" si="29"/>
        <v>0</v>
      </c>
      <c r="J179" s="795">
        <f t="shared" si="30"/>
        <v>0</v>
      </c>
      <c r="K179" s="108">
        <f t="shared" si="24"/>
        <v>2027</v>
      </c>
      <c r="L179" s="646" t="str">
        <f t="shared" si="25"/>
        <v/>
      </c>
    </row>
    <row r="180" spans="1:12" ht="12.75" customHeight="1">
      <c r="A180" s="645" t="str">
        <f>IF(B180&lt;&gt;"",MAX(A$28:A179)+1,IF(ISNA(HLOOKUP(DATE(YEAR($C$21),MONTH(C180),DAY(C180)),$C$21:$N$21,1,0)),"",MAX(A$28:A179)+1))</f>
        <v/>
      </c>
      <c r="B180" s="91" t="str">
        <f>IF(C180&lt;$K$16,"",IF(ISNA(HLOOKUP(DATE(YEAR($C$20),MONTH($C180),DAY($C180)),$C$20:$N$20,1,0)),"",MAX(B$28:B179)+1))</f>
        <v/>
      </c>
      <c r="C180" s="106">
        <f t="shared" si="31"/>
        <v>46630</v>
      </c>
      <c r="D180" s="795">
        <f t="shared" si="26"/>
        <v>26867.371824947499</v>
      </c>
      <c r="E180" s="795" t="str">
        <f>IF($A180="","",IF($A180=1,D$29*$F180*($C180-$C$28)/$K$17,
(D180*ROUND(($C180-VLOOKUP($A180-1,$A$28:$C180,3,0))/30,0)/12*$F180)
))</f>
        <v/>
      </c>
      <c r="F180" s="107">
        <f t="shared" si="27"/>
        <v>0.06</v>
      </c>
      <c r="G180" s="795">
        <f t="shared" si="23"/>
        <v>0</v>
      </c>
      <c r="H180" s="795">
        <f t="shared" si="28"/>
        <v>0</v>
      </c>
      <c r="I180" s="795">
        <f t="shared" si="29"/>
        <v>0</v>
      </c>
      <c r="J180" s="795">
        <f t="shared" si="30"/>
        <v>0</v>
      </c>
      <c r="K180" s="108">
        <f t="shared" si="24"/>
        <v>2027</v>
      </c>
      <c r="L180" s="646" t="str">
        <f t="shared" si="25"/>
        <v/>
      </c>
    </row>
    <row r="181" spans="1:12" ht="12.75" customHeight="1">
      <c r="A181" s="645">
        <f>IF(B181&lt;&gt;"",MAX(A$28:A180)+1,IF(ISNA(HLOOKUP(DATE(YEAR($C$21),MONTH(C181),DAY(C181)),$C$21:$N$21,1,0)),"",MAX(A$28:A180)+1))</f>
        <v>51</v>
      </c>
      <c r="B181" s="91">
        <f>IF(C181&lt;$K$16,"",IF(ISNA(HLOOKUP(DATE(YEAR($C$20),MONTH($C181),DAY($C181)),$C$20:$N$20,1,0)),"",MAX(B$28:B180)+1))</f>
        <v>39</v>
      </c>
      <c r="C181" s="106">
        <f t="shared" si="31"/>
        <v>46660</v>
      </c>
      <c r="D181" s="795">
        <f t="shared" si="26"/>
        <v>26867.371824947499</v>
      </c>
      <c r="E181" s="795">
        <f>IF($A181="","",IF($A181=1,D$29*$F181*($C181-$C$28)/$K$17,
(D181*ROUND(($C181-VLOOKUP($A181-1,$A$28:$C181,3,0))/30,0)/12*$F181)
))</f>
        <v>403.0105773742124</v>
      </c>
      <c r="F181" s="107">
        <f t="shared" si="27"/>
        <v>0.06</v>
      </c>
      <c r="G181" s="795">
        <f t="shared" si="23"/>
        <v>761.41603425069627</v>
      </c>
      <c r="H181" s="795">
        <f t="shared" si="28"/>
        <v>717.64705882352939</v>
      </c>
      <c r="I181" s="795">
        <f t="shared" si="29"/>
        <v>761.41603425069627</v>
      </c>
      <c r="J181" s="795">
        <f t="shared" si="30"/>
        <v>1164.4266116249087</v>
      </c>
      <c r="K181" s="108">
        <f t="shared" si="24"/>
        <v>2027</v>
      </c>
      <c r="L181" s="646" t="str">
        <f t="shared" si="25"/>
        <v/>
      </c>
    </row>
    <row r="182" spans="1:12" ht="12.75" customHeight="1">
      <c r="A182" s="645" t="str">
        <f>IF(B182&lt;&gt;"",MAX(A$28:A181)+1,IF(ISNA(HLOOKUP(DATE(YEAR($C$21),MONTH(C182),DAY(C182)),$C$21:$N$21,1,0)),"",MAX(A$28:A181)+1))</f>
        <v/>
      </c>
      <c r="B182" s="91" t="str">
        <f>IF(C182&lt;$K$16,"",IF(ISNA(HLOOKUP(DATE(YEAR($C$20),MONTH($C182),DAY($C182)),$C$20:$N$20,1,0)),"",MAX(B$28:B181)+1))</f>
        <v/>
      </c>
      <c r="C182" s="106">
        <f t="shared" si="31"/>
        <v>46691</v>
      </c>
      <c r="D182" s="795">
        <f t="shared" si="26"/>
        <v>26105.955790696804</v>
      </c>
      <c r="E182" s="795" t="str">
        <f>IF($A182="","",IF($A182=1,D$29*$F182*($C182-$C$28)/$K$17,
(D182*ROUND(($C182-VLOOKUP($A182-1,$A$28:$C182,3,0))/30,0)/12*$F182)
))</f>
        <v/>
      </c>
      <c r="F182" s="107">
        <f t="shared" si="27"/>
        <v>0.06</v>
      </c>
      <c r="G182" s="795">
        <f t="shared" si="23"/>
        <v>0</v>
      </c>
      <c r="H182" s="795">
        <f t="shared" si="28"/>
        <v>0</v>
      </c>
      <c r="I182" s="795">
        <f t="shared" si="29"/>
        <v>0</v>
      </c>
      <c r="J182" s="795">
        <f t="shared" si="30"/>
        <v>0</v>
      </c>
      <c r="K182" s="108">
        <f t="shared" si="24"/>
        <v>2027</v>
      </c>
      <c r="L182" s="646" t="str">
        <f t="shared" si="25"/>
        <v/>
      </c>
    </row>
    <row r="183" spans="1:12" ht="12.75" customHeight="1">
      <c r="A183" s="645" t="str">
        <f>IF(B183&lt;&gt;"",MAX(A$28:A182)+1,IF(ISNA(HLOOKUP(DATE(YEAR($C$21),MONTH(C183),DAY(C183)),$C$21:$N$21,1,0)),"",MAX(A$28:A182)+1))</f>
        <v/>
      </c>
      <c r="B183" s="91" t="str">
        <f>IF(C183&lt;$K$16,"",IF(ISNA(HLOOKUP(DATE(YEAR($C$20),MONTH($C183),DAY($C183)),$C$20:$N$20,1,0)),"",MAX(B$28:B182)+1))</f>
        <v/>
      </c>
      <c r="C183" s="106">
        <f t="shared" si="31"/>
        <v>46721</v>
      </c>
      <c r="D183" s="795">
        <f t="shared" si="26"/>
        <v>26105.955790696804</v>
      </c>
      <c r="E183" s="795" t="str">
        <f>IF($A183="","",IF($A183=1,D$29*$F183*($C183-$C$28)/$K$17,
(D183*ROUND(($C183-VLOOKUP($A183-1,$A$28:$C183,3,0))/30,0)/12*$F183)
))</f>
        <v/>
      </c>
      <c r="F183" s="107">
        <f t="shared" si="27"/>
        <v>0.06</v>
      </c>
      <c r="G183" s="795">
        <f t="shared" si="23"/>
        <v>0</v>
      </c>
      <c r="H183" s="795">
        <f t="shared" si="28"/>
        <v>0</v>
      </c>
      <c r="I183" s="795">
        <f t="shared" si="29"/>
        <v>0</v>
      </c>
      <c r="J183" s="795">
        <f t="shared" si="30"/>
        <v>0</v>
      </c>
      <c r="K183" s="108">
        <f t="shared" si="24"/>
        <v>2027</v>
      </c>
      <c r="L183" s="646" t="str">
        <f t="shared" si="25"/>
        <v/>
      </c>
    </row>
    <row r="184" spans="1:12" ht="12.75" customHeight="1">
      <c r="A184" s="645">
        <f>IF(B184&lt;&gt;"",MAX(A$28:A183)+1,IF(ISNA(HLOOKUP(DATE(YEAR($C$21),MONTH(C184),DAY(C184)),$C$21:$N$21,1,0)),"",MAX(A$28:A183)+1))</f>
        <v>52</v>
      </c>
      <c r="B184" s="91">
        <f>IF(C184&lt;$K$16,"",IF(ISNA(HLOOKUP(DATE(YEAR($C$20),MONTH($C184),DAY($C184)),$C$20:$N$20,1,0)),"",MAX(B$28:B183)+1))</f>
        <v>40</v>
      </c>
      <c r="C184" s="106">
        <f t="shared" si="31"/>
        <v>46752</v>
      </c>
      <c r="D184" s="795">
        <f t="shared" si="26"/>
        <v>26105.955790696804</v>
      </c>
      <c r="E184" s="795">
        <f>IF($A184="","",IF($A184=1,D$29*$F184*($C184-$C$28)/$K$17,
(D184*ROUND(($C184-VLOOKUP($A184-1,$A$28:$C184,3,0))/30,0)/12*$F184)
))</f>
        <v>391.58933686045197</v>
      </c>
      <c r="F184" s="107">
        <f t="shared" si="27"/>
        <v>0.06</v>
      </c>
      <c r="G184" s="795">
        <f t="shared" si="23"/>
        <v>772.83727476445665</v>
      </c>
      <c r="H184" s="795">
        <f t="shared" si="28"/>
        <v>717.64705882352939</v>
      </c>
      <c r="I184" s="795">
        <f t="shared" si="29"/>
        <v>772.83727476445665</v>
      </c>
      <c r="J184" s="795">
        <f t="shared" si="30"/>
        <v>1164.4266116249087</v>
      </c>
      <c r="K184" s="108">
        <f t="shared" si="24"/>
        <v>2027</v>
      </c>
      <c r="L184" s="646" t="str">
        <f t="shared" si="25"/>
        <v/>
      </c>
    </row>
    <row r="185" spans="1:12" ht="12.75" customHeight="1">
      <c r="A185" s="645" t="str">
        <f>IF(B185&lt;&gt;"",MAX(A$28:A184)+1,IF(ISNA(HLOOKUP(DATE(YEAR($C$21),MONTH(C185),DAY(C185)),$C$21:$N$21,1,0)),"",MAX(A$28:A184)+1))</f>
        <v/>
      </c>
      <c r="B185" s="91" t="str">
        <f>IF(C185&lt;$K$16,"",IF(ISNA(HLOOKUP(DATE(YEAR($C$20),MONTH($C185),DAY($C185)),$C$20:$N$20,1,0)),"",MAX(B$28:B184)+1))</f>
        <v/>
      </c>
      <c r="C185" s="106">
        <f t="shared" si="31"/>
        <v>46783</v>
      </c>
      <c r="D185" s="795">
        <f t="shared" si="26"/>
        <v>25333.118515932347</v>
      </c>
      <c r="E185" s="795" t="str">
        <f>IF($A185="","",IF($A185=1,D$29*$F185*($C185-$C$28)/$K$17,
(D185*ROUND(($C185-VLOOKUP($A185-1,$A$28:$C185,3,0))/30,0)/12*$F185)
))</f>
        <v/>
      </c>
      <c r="F185" s="107">
        <f t="shared" si="27"/>
        <v>0.06</v>
      </c>
      <c r="G185" s="795">
        <f t="shared" si="23"/>
        <v>0</v>
      </c>
      <c r="H185" s="795">
        <f t="shared" si="28"/>
        <v>0</v>
      </c>
      <c r="I185" s="795">
        <f t="shared" si="29"/>
        <v>0</v>
      </c>
      <c r="J185" s="795">
        <f t="shared" si="30"/>
        <v>0</v>
      </c>
      <c r="K185" s="108">
        <f t="shared" si="24"/>
        <v>2028</v>
      </c>
      <c r="L185" s="646" t="str">
        <f t="shared" si="25"/>
        <v/>
      </c>
    </row>
    <row r="186" spans="1:12" ht="12.75" customHeight="1">
      <c r="A186" s="645" t="str">
        <f>IF(B186&lt;&gt;"",MAX(A$28:A185)+1,IF(ISNA(HLOOKUP(DATE(YEAR($C$21),MONTH(C186),DAY(C186)),$C$21:$N$21,1,0)),"",MAX(A$28:A185)+1))</f>
        <v/>
      </c>
      <c r="B186" s="91" t="str">
        <f>IF(C186&lt;$K$16,"",IF(ISNA(HLOOKUP(DATE(YEAR($C$20),MONTH($C186),DAY($C186)),$C$20:$N$20,1,0)),"",MAX(B$28:B185)+1))</f>
        <v/>
      </c>
      <c r="C186" s="106">
        <f t="shared" si="31"/>
        <v>46812</v>
      </c>
      <c r="D186" s="795">
        <f t="shared" si="26"/>
        <v>25333.118515932347</v>
      </c>
      <c r="E186" s="795" t="str">
        <f>IF($A186="","",IF($A186=1,D$29*$F186*($C186-$C$28)/$K$17,
(D186*ROUND(($C186-VLOOKUP($A186-1,$A$28:$C186,3,0))/30,0)/12*$F186)
))</f>
        <v/>
      </c>
      <c r="F186" s="107">
        <f t="shared" si="27"/>
        <v>0.06</v>
      </c>
      <c r="G186" s="795">
        <f t="shared" si="23"/>
        <v>0</v>
      </c>
      <c r="H186" s="795">
        <f t="shared" si="28"/>
        <v>0</v>
      </c>
      <c r="I186" s="795">
        <f t="shared" si="29"/>
        <v>0</v>
      </c>
      <c r="J186" s="795">
        <f t="shared" si="30"/>
        <v>0</v>
      </c>
      <c r="K186" s="108">
        <f t="shared" si="24"/>
        <v>2028</v>
      </c>
      <c r="L186" s="646" t="str">
        <f t="shared" si="25"/>
        <v/>
      </c>
    </row>
    <row r="187" spans="1:12" ht="12.75" customHeight="1">
      <c r="A187" s="645">
        <f>IF(B187&lt;&gt;"",MAX(A$28:A186)+1,IF(ISNA(HLOOKUP(DATE(YEAR($C$21),MONTH(C187),DAY(C187)),$C$21:$N$21,1,0)),"",MAX(A$28:A186)+1))</f>
        <v>53</v>
      </c>
      <c r="B187" s="91">
        <f>IF(C187&lt;$K$16,"",IF(ISNA(HLOOKUP(DATE(YEAR($C$20),MONTH($C187),DAY($C187)),$C$20:$N$20,1,0)),"",MAX(B$28:B186)+1))</f>
        <v>41</v>
      </c>
      <c r="C187" s="106">
        <f t="shared" si="31"/>
        <v>46843</v>
      </c>
      <c r="D187" s="795">
        <f t="shared" si="26"/>
        <v>25333.118515932347</v>
      </c>
      <c r="E187" s="795">
        <f>IF($A187="","",IF($A187=1,D$29*$F187*($C187-$C$28)/$K$17,
(D187*ROUND(($C187-VLOOKUP($A187-1,$A$28:$C187,3,0))/30,0)/12*$F187)
))</f>
        <v>379.9967777389852</v>
      </c>
      <c r="F187" s="107">
        <f t="shared" si="27"/>
        <v>0.06</v>
      </c>
      <c r="G187" s="795">
        <f t="shared" si="23"/>
        <v>784.42983388592347</v>
      </c>
      <c r="H187" s="795">
        <f t="shared" si="28"/>
        <v>717.64705882352939</v>
      </c>
      <c r="I187" s="795">
        <f t="shared" si="29"/>
        <v>784.42983388592347</v>
      </c>
      <c r="J187" s="795">
        <f t="shared" si="30"/>
        <v>1164.4266116249087</v>
      </c>
      <c r="K187" s="108">
        <f t="shared" si="24"/>
        <v>2028</v>
      </c>
      <c r="L187" s="646" t="str">
        <f t="shared" si="25"/>
        <v/>
      </c>
    </row>
    <row r="188" spans="1:12" ht="12.75" customHeight="1">
      <c r="A188" s="645" t="str">
        <f>IF(B188&lt;&gt;"",MAX(A$28:A187)+1,IF(ISNA(HLOOKUP(DATE(YEAR($C$21),MONTH(C188),DAY(C188)),$C$21:$N$21,1,0)),"",MAX(A$28:A187)+1))</f>
        <v/>
      </c>
      <c r="B188" s="91" t="str">
        <f>IF(C188&lt;$K$16,"",IF(ISNA(HLOOKUP(DATE(YEAR($C$20),MONTH($C188),DAY($C188)),$C$20:$N$20,1,0)),"",MAX(B$28:B187)+1))</f>
        <v/>
      </c>
      <c r="C188" s="106">
        <f t="shared" si="31"/>
        <v>46873</v>
      </c>
      <c r="D188" s="795">
        <f t="shared" si="26"/>
        <v>24548.688682046424</v>
      </c>
      <c r="E188" s="795" t="str">
        <f>IF($A188="","",IF($A188=1,D$29*$F188*($C188-$C$28)/$K$17,
(D188*ROUND(($C188-VLOOKUP($A188-1,$A$28:$C188,3,0))/30,0)/12*$F188)
))</f>
        <v/>
      </c>
      <c r="F188" s="107">
        <f t="shared" si="27"/>
        <v>0.06</v>
      </c>
      <c r="G188" s="795">
        <f t="shared" si="23"/>
        <v>0</v>
      </c>
      <c r="H188" s="795">
        <f t="shared" si="28"/>
        <v>0</v>
      </c>
      <c r="I188" s="795">
        <f t="shared" si="29"/>
        <v>0</v>
      </c>
      <c r="J188" s="795">
        <f t="shared" si="30"/>
        <v>0</v>
      </c>
      <c r="K188" s="108">
        <f t="shared" si="24"/>
        <v>2028</v>
      </c>
      <c r="L188" s="646" t="str">
        <f t="shared" si="25"/>
        <v/>
      </c>
    </row>
    <row r="189" spans="1:12" ht="12.75" customHeight="1">
      <c r="A189" s="645" t="str">
        <f>IF(B189&lt;&gt;"",MAX(A$28:A188)+1,IF(ISNA(HLOOKUP(DATE(YEAR($C$21),MONTH(C189),DAY(C189)),$C$21:$N$21,1,0)),"",MAX(A$28:A188)+1))</f>
        <v/>
      </c>
      <c r="B189" s="91" t="str">
        <f>IF(C189&lt;$K$16,"",IF(ISNA(HLOOKUP(DATE(YEAR($C$20),MONTH($C189),DAY($C189)),$C$20:$N$20,1,0)),"",MAX(B$28:B188)+1))</f>
        <v/>
      </c>
      <c r="C189" s="106">
        <f t="shared" si="31"/>
        <v>46904</v>
      </c>
      <c r="D189" s="795">
        <f t="shared" si="26"/>
        <v>24548.688682046424</v>
      </c>
      <c r="E189" s="795" t="str">
        <f>IF($A189="","",IF($A189=1,D$29*$F189*($C189-$C$28)/$K$17,
(D189*ROUND(($C189-VLOOKUP($A189-1,$A$28:$C189,3,0))/30,0)/12*$F189)
))</f>
        <v/>
      </c>
      <c r="F189" s="107">
        <f t="shared" si="27"/>
        <v>0.06</v>
      </c>
      <c r="G189" s="795">
        <f t="shared" si="23"/>
        <v>0</v>
      </c>
      <c r="H189" s="795">
        <f t="shared" si="28"/>
        <v>0</v>
      </c>
      <c r="I189" s="795">
        <f t="shared" si="29"/>
        <v>0</v>
      </c>
      <c r="J189" s="795">
        <f t="shared" si="30"/>
        <v>0</v>
      </c>
      <c r="K189" s="108">
        <f t="shared" si="24"/>
        <v>2028</v>
      </c>
      <c r="L189" s="646" t="str">
        <f t="shared" si="25"/>
        <v/>
      </c>
    </row>
    <row r="190" spans="1:12" ht="12.75" customHeight="1">
      <c r="A190" s="645">
        <f>IF(B190&lt;&gt;"",MAX(A$28:A189)+1,IF(ISNA(HLOOKUP(DATE(YEAR($C$21),MONTH(C190),DAY(C190)),$C$21:$N$21,1,0)),"",MAX(A$28:A189)+1))</f>
        <v>54</v>
      </c>
      <c r="B190" s="91">
        <f>IF(C190&lt;$K$16,"",IF(ISNA(HLOOKUP(DATE(YEAR($C$20),MONTH($C190),DAY($C190)),$C$20:$N$20,1,0)),"",MAX(B$28:B189)+1))</f>
        <v>42</v>
      </c>
      <c r="C190" s="106">
        <f t="shared" si="31"/>
        <v>46934</v>
      </c>
      <c r="D190" s="795">
        <f t="shared" si="26"/>
        <v>24548.688682046424</v>
      </c>
      <c r="E190" s="795">
        <f>IF($A190="","",IF($A190=1,D$29*$F190*($C190-$C$28)/$K$17,
(D190*ROUND(($C190-VLOOKUP($A190-1,$A$28:$C190,3,0))/30,0)/12*$F190)
))</f>
        <v>368.23033023069632</v>
      </c>
      <c r="F190" s="107">
        <f t="shared" si="27"/>
        <v>0.06</v>
      </c>
      <c r="G190" s="795">
        <f t="shared" si="23"/>
        <v>796.19628139421229</v>
      </c>
      <c r="H190" s="795">
        <f t="shared" si="28"/>
        <v>717.64705882352939</v>
      </c>
      <c r="I190" s="795">
        <f t="shared" si="29"/>
        <v>796.19628139421229</v>
      </c>
      <c r="J190" s="795">
        <f t="shared" si="30"/>
        <v>1164.4266116249087</v>
      </c>
      <c r="K190" s="108">
        <f t="shared" si="24"/>
        <v>2028</v>
      </c>
      <c r="L190" s="646" t="str">
        <f t="shared" si="25"/>
        <v/>
      </c>
    </row>
    <row r="191" spans="1:12" ht="12.75" customHeight="1">
      <c r="A191" s="645" t="str">
        <f>IF(B191&lt;&gt;"",MAX(A$28:A190)+1,IF(ISNA(HLOOKUP(DATE(YEAR($C$21),MONTH(C191),DAY(C191)),$C$21:$N$21,1,0)),"",MAX(A$28:A190)+1))</f>
        <v/>
      </c>
      <c r="B191" s="91" t="str">
        <f>IF(C191&lt;$K$16,"",IF(ISNA(HLOOKUP(DATE(YEAR($C$20),MONTH($C191),DAY($C191)),$C$20:$N$20,1,0)),"",MAX(B$28:B190)+1))</f>
        <v/>
      </c>
      <c r="C191" s="106">
        <f t="shared" si="31"/>
        <v>46965</v>
      </c>
      <c r="D191" s="795">
        <f t="shared" si="26"/>
        <v>23752.492400652212</v>
      </c>
      <c r="E191" s="795" t="str">
        <f>IF($A191="","",IF($A191=1,D$29*$F191*($C191-$C$28)/$K$17,
(D191*ROUND(($C191-VLOOKUP($A191-1,$A$28:$C191,3,0))/30,0)/12*$F191)
))</f>
        <v/>
      </c>
      <c r="F191" s="107">
        <f t="shared" si="27"/>
        <v>0.06</v>
      </c>
      <c r="G191" s="795">
        <f t="shared" si="23"/>
        <v>0</v>
      </c>
      <c r="H191" s="795">
        <f t="shared" si="28"/>
        <v>0</v>
      </c>
      <c r="I191" s="795">
        <f t="shared" si="29"/>
        <v>0</v>
      </c>
      <c r="J191" s="795">
        <f t="shared" si="30"/>
        <v>0</v>
      </c>
      <c r="K191" s="108">
        <f t="shared" si="24"/>
        <v>2028</v>
      </c>
      <c r="L191" s="646" t="str">
        <f t="shared" si="25"/>
        <v/>
      </c>
    </row>
    <row r="192" spans="1:12" ht="12.75" customHeight="1">
      <c r="A192" s="645" t="str">
        <f>IF(B192&lt;&gt;"",MAX(A$28:A191)+1,IF(ISNA(HLOOKUP(DATE(YEAR($C$21),MONTH(C192),DAY(C192)),$C$21:$N$21,1,0)),"",MAX(A$28:A191)+1))</f>
        <v/>
      </c>
      <c r="B192" s="91" t="str">
        <f>IF(C192&lt;$K$16,"",IF(ISNA(HLOOKUP(DATE(YEAR($C$20),MONTH($C192),DAY($C192)),$C$20:$N$20,1,0)),"",MAX(B$28:B191)+1))</f>
        <v/>
      </c>
      <c r="C192" s="106">
        <f t="shared" si="31"/>
        <v>46996</v>
      </c>
      <c r="D192" s="795">
        <f t="shared" si="26"/>
        <v>23752.492400652212</v>
      </c>
      <c r="E192" s="795" t="str">
        <f>IF($A192="","",IF($A192=1,D$29*$F192*($C192-$C$28)/$K$17,
(D192*ROUND(($C192-VLOOKUP($A192-1,$A$28:$C192,3,0))/30,0)/12*$F192)
))</f>
        <v/>
      </c>
      <c r="F192" s="107">
        <f t="shared" si="27"/>
        <v>0.06</v>
      </c>
      <c r="G192" s="795">
        <f t="shared" si="23"/>
        <v>0</v>
      </c>
      <c r="H192" s="795">
        <f t="shared" si="28"/>
        <v>0</v>
      </c>
      <c r="I192" s="795">
        <f t="shared" si="29"/>
        <v>0</v>
      </c>
      <c r="J192" s="795">
        <f t="shared" si="30"/>
        <v>0</v>
      </c>
      <c r="K192" s="108">
        <f t="shared" si="24"/>
        <v>2028</v>
      </c>
      <c r="L192" s="646" t="str">
        <f t="shared" si="25"/>
        <v/>
      </c>
    </row>
    <row r="193" spans="1:12" ht="12.75" customHeight="1">
      <c r="A193" s="645">
        <f>IF(B193&lt;&gt;"",MAX(A$28:A192)+1,IF(ISNA(HLOOKUP(DATE(YEAR($C$21),MONTH(C193),DAY(C193)),$C$21:$N$21,1,0)),"",MAX(A$28:A192)+1))</f>
        <v>55</v>
      </c>
      <c r="B193" s="91">
        <f>IF(C193&lt;$K$16,"",IF(ISNA(HLOOKUP(DATE(YEAR($C$20),MONTH($C193),DAY($C193)),$C$20:$N$20,1,0)),"",MAX(B$28:B192)+1))</f>
        <v>43</v>
      </c>
      <c r="C193" s="106">
        <f t="shared" si="31"/>
        <v>47026</v>
      </c>
      <c r="D193" s="795">
        <f t="shared" si="26"/>
        <v>23752.492400652212</v>
      </c>
      <c r="E193" s="795">
        <f>IF($A193="","",IF($A193=1,D$29*$F193*($C193-$C$28)/$K$17,
(D193*ROUND(($C193-VLOOKUP($A193-1,$A$28:$C193,3,0))/30,0)/12*$F193)
))</f>
        <v>356.28738600978323</v>
      </c>
      <c r="F193" s="107">
        <f t="shared" si="27"/>
        <v>0.06</v>
      </c>
      <c r="G193" s="795">
        <f t="shared" si="23"/>
        <v>808.1392256151255</v>
      </c>
      <c r="H193" s="795">
        <f t="shared" si="28"/>
        <v>717.64705882352939</v>
      </c>
      <c r="I193" s="795">
        <f t="shared" si="29"/>
        <v>808.1392256151255</v>
      </c>
      <c r="J193" s="795">
        <f t="shared" si="30"/>
        <v>1164.4266116249087</v>
      </c>
      <c r="K193" s="108">
        <f t="shared" si="24"/>
        <v>2028</v>
      </c>
      <c r="L193" s="646" t="str">
        <f t="shared" si="25"/>
        <v/>
      </c>
    </row>
    <row r="194" spans="1:12" ht="12.75" customHeight="1">
      <c r="A194" s="645" t="str">
        <f>IF(B194&lt;&gt;"",MAX(A$28:A193)+1,IF(ISNA(HLOOKUP(DATE(YEAR($C$21),MONTH(C194),DAY(C194)),$C$21:$N$21,1,0)),"",MAX(A$28:A193)+1))</f>
        <v/>
      </c>
      <c r="B194" s="91" t="str">
        <f>IF(C194&lt;$K$16,"",IF(ISNA(HLOOKUP(DATE(YEAR($C$20),MONTH($C194),DAY($C194)),$C$20:$N$20,1,0)),"",MAX(B$28:B193)+1))</f>
        <v/>
      </c>
      <c r="C194" s="106">
        <f t="shared" si="31"/>
        <v>47057</v>
      </c>
      <c r="D194" s="795">
        <f t="shared" si="26"/>
        <v>22944.353175037086</v>
      </c>
      <c r="E194" s="795" t="str">
        <f>IF($A194="","",IF($A194=1,D$29*$F194*($C194-$C$28)/$K$17,
(D194*ROUND(($C194-VLOOKUP($A194-1,$A$28:$C194,3,0))/30,0)/12*$F194)
))</f>
        <v/>
      </c>
      <c r="F194" s="107">
        <f t="shared" si="27"/>
        <v>0.06</v>
      </c>
      <c r="G194" s="795">
        <f t="shared" si="23"/>
        <v>0</v>
      </c>
      <c r="H194" s="795">
        <f t="shared" si="28"/>
        <v>0</v>
      </c>
      <c r="I194" s="795">
        <f t="shared" si="29"/>
        <v>0</v>
      </c>
      <c r="J194" s="795">
        <f t="shared" si="30"/>
        <v>0</v>
      </c>
      <c r="K194" s="108">
        <f t="shared" si="24"/>
        <v>2028</v>
      </c>
      <c r="L194" s="646" t="str">
        <f t="shared" si="25"/>
        <v/>
      </c>
    </row>
    <row r="195" spans="1:12" ht="12.75" customHeight="1">
      <c r="A195" s="645" t="str">
        <f>IF(B195&lt;&gt;"",MAX(A$28:A194)+1,IF(ISNA(HLOOKUP(DATE(YEAR($C$21),MONTH(C195),DAY(C195)),$C$21:$N$21,1,0)),"",MAX(A$28:A194)+1))</f>
        <v/>
      </c>
      <c r="B195" s="91" t="str">
        <f>IF(C195&lt;$K$16,"",IF(ISNA(HLOOKUP(DATE(YEAR($C$20),MONTH($C195),DAY($C195)),$C$20:$N$20,1,0)),"",MAX(B$28:B194)+1))</f>
        <v/>
      </c>
      <c r="C195" s="106">
        <f t="shared" si="31"/>
        <v>47087</v>
      </c>
      <c r="D195" s="795">
        <f t="shared" si="26"/>
        <v>22944.353175037086</v>
      </c>
      <c r="E195" s="795" t="str">
        <f>IF($A195="","",IF($A195=1,D$29*$F195*($C195-$C$28)/$K$17,
(D195*ROUND(($C195-VLOOKUP($A195-1,$A$28:$C195,3,0))/30,0)/12*$F195)
))</f>
        <v/>
      </c>
      <c r="F195" s="107">
        <f t="shared" si="27"/>
        <v>0.06</v>
      </c>
      <c r="G195" s="795">
        <f t="shared" si="23"/>
        <v>0</v>
      </c>
      <c r="H195" s="795">
        <f t="shared" si="28"/>
        <v>0</v>
      </c>
      <c r="I195" s="795">
        <f t="shared" si="29"/>
        <v>0</v>
      </c>
      <c r="J195" s="795">
        <f t="shared" si="30"/>
        <v>0</v>
      </c>
      <c r="K195" s="108">
        <f t="shared" si="24"/>
        <v>2028</v>
      </c>
      <c r="L195" s="646" t="str">
        <f t="shared" si="25"/>
        <v/>
      </c>
    </row>
    <row r="196" spans="1:12" ht="12.75" customHeight="1">
      <c r="A196" s="645">
        <f>IF(B196&lt;&gt;"",MAX(A$28:A195)+1,IF(ISNA(HLOOKUP(DATE(YEAR($C$21),MONTH(C196),DAY(C196)),$C$21:$N$21,1,0)),"",MAX(A$28:A195)+1))</f>
        <v>56</v>
      </c>
      <c r="B196" s="91">
        <f>IF(C196&lt;$K$16,"",IF(ISNA(HLOOKUP(DATE(YEAR($C$20),MONTH($C196),DAY($C196)),$C$20:$N$20,1,0)),"",MAX(B$28:B195)+1))</f>
        <v>44</v>
      </c>
      <c r="C196" s="106">
        <f t="shared" si="31"/>
        <v>47118</v>
      </c>
      <c r="D196" s="795">
        <f t="shared" si="26"/>
        <v>22944.353175037086</v>
      </c>
      <c r="E196" s="795">
        <f>IF($A196="","",IF($A196=1,D$29*$F196*($C196-$C$28)/$K$17,
(D196*ROUND(($C196-VLOOKUP($A196-1,$A$28:$C196,3,0))/30,0)/12*$F196)
))</f>
        <v>344.16529762555626</v>
      </c>
      <c r="F196" s="107">
        <f t="shared" si="27"/>
        <v>0.06</v>
      </c>
      <c r="G196" s="795">
        <f t="shared" si="23"/>
        <v>820.26131399935241</v>
      </c>
      <c r="H196" s="795">
        <f t="shared" si="28"/>
        <v>717.64705882352939</v>
      </c>
      <c r="I196" s="795">
        <f t="shared" si="29"/>
        <v>820.26131399935241</v>
      </c>
      <c r="J196" s="795">
        <f t="shared" si="30"/>
        <v>1164.4266116249087</v>
      </c>
      <c r="K196" s="108">
        <f t="shared" si="24"/>
        <v>2028</v>
      </c>
      <c r="L196" s="646" t="str">
        <f t="shared" si="25"/>
        <v/>
      </c>
    </row>
    <row r="197" spans="1:12" ht="12.75" customHeight="1">
      <c r="A197" s="645" t="str">
        <f>IF(B197&lt;&gt;"",MAX(A$28:A196)+1,IF(ISNA(HLOOKUP(DATE(YEAR($C$21),MONTH(C197),DAY(C197)),$C$21:$N$21,1,0)),"",MAX(A$28:A196)+1))</f>
        <v/>
      </c>
      <c r="B197" s="91" t="str">
        <f>IF(C197&lt;$K$16,"",IF(ISNA(HLOOKUP(DATE(YEAR($C$20),MONTH($C197),DAY($C197)),$C$20:$N$20,1,0)),"",MAX(B$28:B196)+1))</f>
        <v/>
      </c>
      <c r="C197" s="106">
        <f t="shared" si="31"/>
        <v>47149</v>
      </c>
      <c r="D197" s="795">
        <f t="shared" si="26"/>
        <v>22124.091861037734</v>
      </c>
      <c r="E197" s="795" t="str">
        <f>IF($A197="","",IF($A197=1,D$29*$F197*($C197-$C$28)/$K$17,
(D197*ROUND(($C197-VLOOKUP($A197-1,$A$28:$C197,3,0))/30,0)/12*$F197)
))</f>
        <v/>
      </c>
      <c r="F197" s="107">
        <f t="shared" si="27"/>
        <v>0.06</v>
      </c>
      <c r="G197" s="795">
        <f t="shared" si="23"/>
        <v>0</v>
      </c>
      <c r="H197" s="795">
        <f t="shared" si="28"/>
        <v>0</v>
      </c>
      <c r="I197" s="795">
        <f t="shared" si="29"/>
        <v>0</v>
      </c>
      <c r="J197" s="795">
        <f t="shared" si="30"/>
        <v>0</v>
      </c>
      <c r="K197" s="108">
        <f t="shared" si="24"/>
        <v>2029</v>
      </c>
      <c r="L197" s="646" t="str">
        <f t="shared" si="25"/>
        <v/>
      </c>
    </row>
    <row r="198" spans="1:12" ht="12.75" customHeight="1">
      <c r="A198" s="645" t="str">
        <f>IF(B198&lt;&gt;"",MAX(A$28:A197)+1,IF(ISNA(HLOOKUP(DATE(YEAR($C$21),MONTH(C198),DAY(C198)),$C$21:$N$21,1,0)),"",MAX(A$28:A197)+1))</f>
        <v/>
      </c>
      <c r="B198" s="91" t="str">
        <f>IF(C198&lt;$K$16,"",IF(ISNA(HLOOKUP(DATE(YEAR($C$20),MONTH($C198),DAY($C198)),$C$20:$N$20,1,0)),"",MAX(B$28:B197)+1))</f>
        <v/>
      </c>
      <c r="C198" s="106">
        <f t="shared" si="31"/>
        <v>47177</v>
      </c>
      <c r="D198" s="795">
        <f t="shared" si="26"/>
        <v>22124.091861037734</v>
      </c>
      <c r="E198" s="795" t="str">
        <f>IF($A198="","",IF($A198=1,D$29*$F198*($C198-$C$28)/$K$17,
(D198*ROUND(($C198-VLOOKUP($A198-1,$A$28:$C198,3,0))/30,0)/12*$F198)
))</f>
        <v/>
      </c>
      <c r="F198" s="107">
        <f t="shared" si="27"/>
        <v>0.06</v>
      </c>
      <c r="G198" s="795">
        <f t="shared" si="23"/>
        <v>0</v>
      </c>
      <c r="H198" s="795">
        <f t="shared" si="28"/>
        <v>0</v>
      </c>
      <c r="I198" s="795">
        <f t="shared" si="29"/>
        <v>0</v>
      </c>
      <c r="J198" s="795">
        <f t="shared" si="30"/>
        <v>0</v>
      </c>
      <c r="K198" s="108">
        <f t="shared" si="24"/>
        <v>2029</v>
      </c>
      <c r="L198" s="646" t="str">
        <f t="shared" si="25"/>
        <v/>
      </c>
    </row>
    <row r="199" spans="1:12" ht="12.75" customHeight="1">
      <c r="A199" s="645">
        <f>IF(B199&lt;&gt;"",MAX(A$28:A198)+1,IF(ISNA(HLOOKUP(DATE(YEAR($C$21),MONTH(C199),DAY(C199)),$C$21:$N$21,1,0)),"",MAX(A$28:A198)+1))</f>
        <v>57</v>
      </c>
      <c r="B199" s="91">
        <f>IF(C199&lt;$K$16,"",IF(ISNA(HLOOKUP(DATE(YEAR($C$20),MONTH($C199),DAY($C199)),$C$20:$N$20,1,0)),"",MAX(B$28:B198)+1))</f>
        <v>45</v>
      </c>
      <c r="C199" s="106">
        <f t="shared" si="31"/>
        <v>47208</v>
      </c>
      <c r="D199" s="795">
        <f t="shared" si="26"/>
        <v>22124.091861037734</v>
      </c>
      <c r="E199" s="795">
        <f>IF($A199="","",IF($A199=1,D$29*$F199*($C199-$C$28)/$K$17,
(D199*ROUND(($C199-VLOOKUP($A199-1,$A$28:$C199,3,0))/30,0)/12*$F199)
))</f>
        <v>331.86137791556592</v>
      </c>
      <c r="F199" s="107">
        <f t="shared" si="27"/>
        <v>0.06</v>
      </c>
      <c r="G199" s="795">
        <f t="shared" si="23"/>
        <v>832.56523370934269</v>
      </c>
      <c r="H199" s="795">
        <f t="shared" si="28"/>
        <v>717.64705882352939</v>
      </c>
      <c r="I199" s="795">
        <f t="shared" si="29"/>
        <v>832.56523370934269</v>
      </c>
      <c r="J199" s="795">
        <f t="shared" si="30"/>
        <v>1164.4266116249087</v>
      </c>
      <c r="K199" s="108">
        <f t="shared" si="24"/>
        <v>2029</v>
      </c>
      <c r="L199" s="646" t="str">
        <f t="shared" si="25"/>
        <v/>
      </c>
    </row>
    <row r="200" spans="1:12" ht="12.75" customHeight="1">
      <c r="A200" s="645" t="str">
        <f>IF(B200&lt;&gt;"",MAX(A$28:A199)+1,IF(ISNA(HLOOKUP(DATE(YEAR($C$21),MONTH(C200),DAY(C200)),$C$21:$N$21,1,0)),"",MAX(A$28:A199)+1))</f>
        <v/>
      </c>
      <c r="B200" s="91" t="str">
        <f>IF(C200&lt;$K$16,"",IF(ISNA(HLOOKUP(DATE(YEAR($C$20),MONTH($C200),DAY($C200)),$C$20:$N$20,1,0)),"",MAX(B$28:B199)+1))</f>
        <v/>
      </c>
      <c r="C200" s="106">
        <f t="shared" si="31"/>
        <v>47238</v>
      </c>
      <c r="D200" s="795">
        <f t="shared" si="26"/>
        <v>21291.526627328392</v>
      </c>
      <c r="E200" s="795" t="str">
        <f>IF($A200="","",IF($A200=1,D$29*$F200*($C200-$C$28)/$K$17,
(D200*ROUND(($C200-VLOOKUP($A200-1,$A$28:$C200,3,0))/30,0)/12*$F200)
))</f>
        <v/>
      </c>
      <c r="F200" s="107">
        <f t="shared" si="27"/>
        <v>0.06</v>
      </c>
      <c r="G200" s="795">
        <f t="shared" si="23"/>
        <v>0</v>
      </c>
      <c r="H200" s="795">
        <f t="shared" si="28"/>
        <v>0</v>
      </c>
      <c r="I200" s="795">
        <f t="shared" si="29"/>
        <v>0</v>
      </c>
      <c r="J200" s="795">
        <f t="shared" si="30"/>
        <v>0</v>
      </c>
      <c r="K200" s="108">
        <f t="shared" si="24"/>
        <v>2029</v>
      </c>
      <c r="L200" s="646" t="str">
        <f t="shared" si="25"/>
        <v/>
      </c>
    </row>
    <row r="201" spans="1:12" ht="12.75" customHeight="1">
      <c r="A201" s="645" t="str">
        <f>IF(B201&lt;&gt;"",MAX(A$28:A200)+1,IF(ISNA(HLOOKUP(DATE(YEAR($C$21),MONTH(C201),DAY(C201)),$C$21:$N$21,1,0)),"",MAX(A$28:A200)+1))</f>
        <v/>
      </c>
      <c r="B201" s="91" t="str">
        <f>IF(C201&lt;$K$16,"",IF(ISNA(HLOOKUP(DATE(YEAR($C$20),MONTH($C201),DAY($C201)),$C$20:$N$20,1,0)),"",MAX(B$28:B200)+1))</f>
        <v/>
      </c>
      <c r="C201" s="106">
        <f t="shared" si="31"/>
        <v>47269</v>
      </c>
      <c r="D201" s="795">
        <f t="shared" si="26"/>
        <v>21291.526627328392</v>
      </c>
      <c r="E201" s="795" t="str">
        <f>IF($A201="","",IF($A201=1,D$29*$F201*($C201-$C$28)/$K$17,
(D201*ROUND(($C201-VLOOKUP($A201-1,$A$28:$C201,3,0))/30,0)/12*$F201)
))</f>
        <v/>
      </c>
      <c r="F201" s="107">
        <f t="shared" si="27"/>
        <v>0.06</v>
      </c>
      <c r="G201" s="795">
        <f t="shared" si="23"/>
        <v>0</v>
      </c>
      <c r="H201" s="795">
        <f t="shared" si="28"/>
        <v>0</v>
      </c>
      <c r="I201" s="795">
        <f t="shared" si="29"/>
        <v>0</v>
      </c>
      <c r="J201" s="795">
        <f t="shared" si="30"/>
        <v>0</v>
      </c>
      <c r="K201" s="108">
        <f t="shared" si="24"/>
        <v>2029</v>
      </c>
      <c r="L201" s="646" t="str">
        <f t="shared" si="25"/>
        <v/>
      </c>
    </row>
    <row r="202" spans="1:12" ht="12.75" customHeight="1">
      <c r="A202" s="645">
        <f>IF(B202&lt;&gt;"",MAX(A$28:A201)+1,IF(ISNA(HLOOKUP(DATE(YEAR($C$21),MONTH(C202),DAY(C202)),$C$21:$N$21,1,0)),"",MAX(A$28:A201)+1))</f>
        <v>58</v>
      </c>
      <c r="B202" s="91">
        <f>IF(C202&lt;$K$16,"",IF(ISNA(HLOOKUP(DATE(YEAR($C$20),MONTH($C202),DAY($C202)),$C$20:$N$20,1,0)),"",MAX(B$28:B201)+1))</f>
        <v>46</v>
      </c>
      <c r="C202" s="106">
        <f t="shared" si="31"/>
        <v>47299</v>
      </c>
      <c r="D202" s="795">
        <f t="shared" si="26"/>
        <v>21291.526627328392</v>
      </c>
      <c r="E202" s="795">
        <f>IF($A202="","",IF($A202=1,D$29*$F202*($C202-$C$28)/$K$17,
(D202*ROUND(($C202-VLOOKUP($A202-1,$A$28:$C202,3,0))/30,0)/12*$F202)
))</f>
        <v>319.37289940992588</v>
      </c>
      <c r="F202" s="107">
        <f t="shared" si="27"/>
        <v>0.06</v>
      </c>
      <c r="G202" s="795">
        <f t="shared" si="23"/>
        <v>845.05371221498285</v>
      </c>
      <c r="H202" s="795">
        <f t="shared" si="28"/>
        <v>717.64705882352939</v>
      </c>
      <c r="I202" s="795">
        <f t="shared" si="29"/>
        <v>845.05371221498285</v>
      </c>
      <c r="J202" s="795">
        <f t="shared" si="30"/>
        <v>1164.4266116249087</v>
      </c>
      <c r="K202" s="108">
        <f t="shared" si="24"/>
        <v>2029</v>
      </c>
      <c r="L202" s="646" t="str">
        <f t="shared" si="25"/>
        <v/>
      </c>
    </row>
    <row r="203" spans="1:12" ht="12.75" customHeight="1">
      <c r="A203" s="645" t="str">
        <f>IF(B203&lt;&gt;"",MAX(A$28:A202)+1,IF(ISNA(HLOOKUP(DATE(YEAR($C$21),MONTH(C203),DAY(C203)),$C$21:$N$21,1,0)),"",MAX(A$28:A202)+1))</f>
        <v/>
      </c>
      <c r="B203" s="91" t="str">
        <f>IF(C203&lt;$K$16,"",IF(ISNA(HLOOKUP(DATE(YEAR($C$20),MONTH($C203),DAY($C203)),$C$20:$N$20,1,0)),"",MAX(B$28:B202)+1))</f>
        <v/>
      </c>
      <c r="C203" s="106">
        <f t="shared" si="31"/>
        <v>47330</v>
      </c>
      <c r="D203" s="795">
        <f t="shared" si="26"/>
        <v>20446.472915113409</v>
      </c>
      <c r="E203" s="795" t="str">
        <f>IF($A203="","",IF($A203=1,D$29*$F203*($C203-$C$28)/$K$17,
(D203*ROUND(($C203-VLOOKUP($A203-1,$A$28:$C203,3,0))/30,0)/12*$F203)
))</f>
        <v/>
      </c>
      <c r="F203" s="107">
        <f t="shared" si="27"/>
        <v>0.06</v>
      </c>
      <c r="G203" s="795">
        <f t="shared" si="23"/>
        <v>0</v>
      </c>
      <c r="H203" s="795">
        <f t="shared" si="28"/>
        <v>0</v>
      </c>
      <c r="I203" s="795">
        <f t="shared" si="29"/>
        <v>0</v>
      </c>
      <c r="J203" s="795">
        <f t="shared" si="30"/>
        <v>0</v>
      </c>
      <c r="K203" s="108">
        <f t="shared" si="24"/>
        <v>2029</v>
      </c>
      <c r="L203" s="646" t="str">
        <f t="shared" si="25"/>
        <v/>
      </c>
    </row>
    <row r="204" spans="1:12" ht="12.75" customHeight="1">
      <c r="A204" s="645" t="str">
        <f>IF(B204&lt;&gt;"",MAX(A$28:A203)+1,IF(ISNA(HLOOKUP(DATE(YEAR($C$21),MONTH(C204),DAY(C204)),$C$21:$N$21,1,0)),"",MAX(A$28:A203)+1))</f>
        <v/>
      </c>
      <c r="B204" s="91" t="str">
        <f>IF(C204&lt;$K$16,"",IF(ISNA(HLOOKUP(DATE(YEAR($C$20),MONTH($C204),DAY($C204)),$C$20:$N$20,1,0)),"",MAX(B$28:B203)+1))</f>
        <v/>
      </c>
      <c r="C204" s="106">
        <f t="shared" si="31"/>
        <v>47361</v>
      </c>
      <c r="D204" s="795">
        <f t="shared" si="26"/>
        <v>20446.472915113409</v>
      </c>
      <c r="E204" s="795" t="str">
        <f>IF($A204="","",IF($A204=1,D$29*$F204*($C204-$C$28)/$K$17,
(D204*ROUND(($C204-VLOOKUP($A204-1,$A$28:$C204,3,0))/30,0)/12*$F204)
))</f>
        <v/>
      </c>
      <c r="F204" s="107">
        <f t="shared" si="27"/>
        <v>0.06</v>
      </c>
      <c r="G204" s="795">
        <f t="shared" si="23"/>
        <v>0</v>
      </c>
      <c r="H204" s="795">
        <f t="shared" si="28"/>
        <v>0</v>
      </c>
      <c r="I204" s="795">
        <f t="shared" si="29"/>
        <v>0</v>
      </c>
      <c r="J204" s="795">
        <f t="shared" si="30"/>
        <v>0</v>
      </c>
      <c r="K204" s="108">
        <f t="shared" si="24"/>
        <v>2029</v>
      </c>
      <c r="L204" s="646" t="str">
        <f t="shared" si="25"/>
        <v/>
      </c>
    </row>
    <row r="205" spans="1:12" ht="12.75" customHeight="1">
      <c r="A205" s="645">
        <f>IF(B205&lt;&gt;"",MAX(A$28:A204)+1,IF(ISNA(HLOOKUP(DATE(YEAR($C$21),MONTH(C205),DAY(C205)),$C$21:$N$21,1,0)),"",MAX(A$28:A204)+1))</f>
        <v>59</v>
      </c>
      <c r="B205" s="91">
        <f>IF(C205&lt;$K$16,"",IF(ISNA(HLOOKUP(DATE(YEAR($C$20),MONTH($C205),DAY($C205)),$C$20:$N$20,1,0)),"",MAX(B$28:B204)+1))</f>
        <v>47</v>
      </c>
      <c r="C205" s="106">
        <f t="shared" si="31"/>
        <v>47391</v>
      </c>
      <c r="D205" s="795">
        <f t="shared" si="26"/>
        <v>20446.472915113409</v>
      </c>
      <c r="E205" s="795">
        <f>IF($A205="","",IF($A205=1,D$29*$F205*($C205-$C$28)/$K$17,
(D205*ROUND(($C205-VLOOKUP($A205-1,$A$28:$C205,3,0))/30,0)/12*$F205)
))</f>
        <v>306.6970937267011</v>
      </c>
      <c r="F205" s="107">
        <f t="shared" si="27"/>
        <v>0.06</v>
      </c>
      <c r="G205" s="795">
        <f t="shared" si="23"/>
        <v>857.72951789820763</v>
      </c>
      <c r="H205" s="795">
        <f t="shared" si="28"/>
        <v>717.64705882352939</v>
      </c>
      <c r="I205" s="795">
        <f t="shared" si="29"/>
        <v>857.72951789820763</v>
      </c>
      <c r="J205" s="795">
        <f t="shared" si="30"/>
        <v>1164.4266116249087</v>
      </c>
      <c r="K205" s="108">
        <f t="shared" si="24"/>
        <v>2029</v>
      </c>
      <c r="L205" s="646" t="str">
        <f t="shared" si="25"/>
        <v/>
      </c>
    </row>
    <row r="206" spans="1:12" ht="12.75" customHeight="1">
      <c r="A206" s="645" t="str">
        <f>IF(B206&lt;&gt;"",MAX(A$28:A205)+1,IF(ISNA(HLOOKUP(DATE(YEAR($C$21),MONTH(C206),DAY(C206)),$C$21:$N$21,1,0)),"",MAX(A$28:A205)+1))</f>
        <v/>
      </c>
      <c r="B206" s="91" t="str">
        <f>IF(C206&lt;$K$16,"",IF(ISNA(HLOOKUP(DATE(YEAR($C$20),MONTH($C206),DAY($C206)),$C$20:$N$20,1,0)),"",MAX(B$28:B205)+1))</f>
        <v/>
      </c>
      <c r="C206" s="106">
        <f t="shared" si="31"/>
        <v>47422</v>
      </c>
      <c r="D206" s="795">
        <f t="shared" si="26"/>
        <v>19588.743397215199</v>
      </c>
      <c r="E206" s="795" t="str">
        <f>IF($A206="","",IF($A206=1,D$29*$F206*($C206-$C$28)/$K$17,
(D206*ROUND(($C206-VLOOKUP($A206-1,$A$28:$C206,3,0))/30,0)/12*$F206)
))</f>
        <v/>
      </c>
      <c r="F206" s="107">
        <f t="shared" si="27"/>
        <v>0.06</v>
      </c>
      <c r="G206" s="795">
        <f t="shared" si="23"/>
        <v>0</v>
      </c>
      <c r="H206" s="795">
        <f t="shared" si="28"/>
        <v>0</v>
      </c>
      <c r="I206" s="795">
        <f t="shared" si="29"/>
        <v>0</v>
      </c>
      <c r="J206" s="795">
        <f t="shared" si="30"/>
        <v>0</v>
      </c>
      <c r="K206" s="108">
        <f t="shared" si="24"/>
        <v>2029</v>
      </c>
      <c r="L206" s="646" t="str">
        <f t="shared" si="25"/>
        <v/>
      </c>
    </row>
    <row r="207" spans="1:12" ht="12.75" customHeight="1">
      <c r="A207" s="645" t="str">
        <f>IF(B207&lt;&gt;"",MAX(A$28:A206)+1,IF(ISNA(HLOOKUP(DATE(YEAR($C$21),MONTH(C207),DAY(C207)),$C$21:$N$21,1,0)),"",MAX(A$28:A206)+1))</f>
        <v/>
      </c>
      <c r="B207" s="91" t="str">
        <f>IF(C207&lt;$K$16,"",IF(ISNA(HLOOKUP(DATE(YEAR($C$20),MONTH($C207),DAY($C207)),$C$20:$N$20,1,0)),"",MAX(B$28:B206)+1))</f>
        <v/>
      </c>
      <c r="C207" s="106">
        <f t="shared" si="31"/>
        <v>47452</v>
      </c>
      <c r="D207" s="795">
        <f t="shared" si="26"/>
        <v>19588.743397215199</v>
      </c>
      <c r="E207" s="795" t="str">
        <f>IF($A207="","",IF($A207=1,D$29*$F207*($C207-$C$28)/$K$17,
(D207*ROUND(($C207-VLOOKUP($A207-1,$A$28:$C207,3,0))/30,0)/12*$F207)
))</f>
        <v/>
      </c>
      <c r="F207" s="107">
        <f t="shared" si="27"/>
        <v>0.06</v>
      </c>
      <c r="G207" s="795">
        <f t="shared" si="23"/>
        <v>0</v>
      </c>
      <c r="H207" s="795">
        <f t="shared" si="28"/>
        <v>0</v>
      </c>
      <c r="I207" s="795">
        <f t="shared" si="29"/>
        <v>0</v>
      </c>
      <c r="J207" s="795">
        <f t="shared" si="30"/>
        <v>0</v>
      </c>
      <c r="K207" s="108">
        <f t="shared" si="24"/>
        <v>2029</v>
      </c>
      <c r="L207" s="646" t="str">
        <f t="shared" si="25"/>
        <v/>
      </c>
    </row>
    <row r="208" spans="1:12" ht="12.75" customHeight="1">
      <c r="A208" s="645">
        <f>IF(B208&lt;&gt;"",MAX(A$28:A207)+1,IF(ISNA(HLOOKUP(DATE(YEAR($C$21),MONTH(C208),DAY(C208)),$C$21:$N$21,1,0)),"",MAX(A$28:A207)+1))</f>
        <v>60</v>
      </c>
      <c r="B208" s="91">
        <f>IF(C208&lt;$K$16,"",IF(ISNA(HLOOKUP(DATE(YEAR($C$20),MONTH($C208),DAY($C208)),$C$20:$N$20,1,0)),"",MAX(B$28:B207)+1))</f>
        <v>48</v>
      </c>
      <c r="C208" s="106">
        <f t="shared" si="31"/>
        <v>47483</v>
      </c>
      <c r="D208" s="795">
        <f t="shared" si="26"/>
        <v>19588.743397215199</v>
      </c>
      <c r="E208" s="795">
        <f>IF($A208="","",IF($A208=1,D$29*$F208*($C208-$C$28)/$K$17,
(D208*ROUND(($C208-VLOOKUP($A208-1,$A$28:$C208,3,0))/30,0)/12*$F208)
))</f>
        <v>293.83115095822797</v>
      </c>
      <c r="F208" s="107">
        <f t="shared" si="27"/>
        <v>0.06</v>
      </c>
      <c r="G208" s="795">
        <f t="shared" si="23"/>
        <v>870.59546066668076</v>
      </c>
      <c r="H208" s="795">
        <f t="shared" si="28"/>
        <v>717.64705882352939</v>
      </c>
      <c r="I208" s="795">
        <f t="shared" si="29"/>
        <v>870.59546066668076</v>
      </c>
      <c r="J208" s="795">
        <f t="shared" si="30"/>
        <v>1164.4266116249087</v>
      </c>
      <c r="K208" s="108">
        <f t="shared" si="24"/>
        <v>2029</v>
      </c>
      <c r="L208" s="646" t="str">
        <f t="shared" si="25"/>
        <v/>
      </c>
    </row>
    <row r="209" spans="1:12" ht="12.75" customHeight="1">
      <c r="A209" s="645" t="str">
        <f>IF(B209&lt;&gt;"",MAX(A$28:A208)+1,IF(ISNA(HLOOKUP(DATE(YEAR($C$21),MONTH(C209),DAY(C209)),$C$21:$N$21,1,0)),"",MAX(A$28:A208)+1))</f>
        <v/>
      </c>
      <c r="B209" s="91" t="str">
        <f>IF(C209&lt;$K$16,"",IF(ISNA(HLOOKUP(DATE(YEAR($C$20),MONTH($C209),DAY($C209)),$C$20:$N$20,1,0)),"",MAX(B$28:B208)+1))</f>
        <v/>
      </c>
      <c r="C209" s="106">
        <f t="shared" si="31"/>
        <v>47514</v>
      </c>
      <c r="D209" s="795">
        <f t="shared" si="26"/>
        <v>18718.147936548517</v>
      </c>
      <c r="E209" s="795" t="str">
        <f>IF($A209="","",IF($A209=1,D$29*$F209*($C209-$C$28)/$K$17,
(D209*ROUND(($C209-VLOOKUP($A209-1,$A$28:$C209,3,0))/30,0)/12*$F209)
))</f>
        <v/>
      </c>
      <c r="F209" s="107">
        <f t="shared" si="27"/>
        <v>0.06</v>
      </c>
      <c r="G209" s="795">
        <f t="shared" si="23"/>
        <v>0</v>
      </c>
      <c r="H209" s="795">
        <f t="shared" si="28"/>
        <v>0</v>
      </c>
      <c r="I209" s="795">
        <f t="shared" si="29"/>
        <v>0</v>
      </c>
      <c r="J209" s="795">
        <f t="shared" si="30"/>
        <v>0</v>
      </c>
      <c r="K209" s="108">
        <f t="shared" si="24"/>
        <v>2030</v>
      </c>
      <c r="L209" s="646" t="str">
        <f t="shared" si="25"/>
        <v/>
      </c>
    </row>
    <row r="210" spans="1:12" ht="12.75" customHeight="1">
      <c r="A210" s="645" t="str">
        <f>IF(B210&lt;&gt;"",MAX(A$28:A209)+1,IF(ISNA(HLOOKUP(DATE(YEAR($C$21),MONTH(C210),DAY(C210)),$C$21:$N$21,1,0)),"",MAX(A$28:A209)+1))</f>
        <v/>
      </c>
      <c r="B210" s="91" t="str">
        <f>IF(C210&lt;$K$16,"",IF(ISNA(HLOOKUP(DATE(YEAR($C$20),MONTH($C210),DAY($C210)),$C$20:$N$20,1,0)),"",MAX(B$28:B209)+1))</f>
        <v/>
      </c>
      <c r="C210" s="106">
        <f t="shared" si="31"/>
        <v>47542</v>
      </c>
      <c r="D210" s="795">
        <f t="shared" si="26"/>
        <v>18718.147936548517</v>
      </c>
      <c r="E210" s="795" t="str">
        <f>IF($A210="","",IF($A210=1,D$29*$F210*($C210-$C$28)/$K$17,
(D210*ROUND(($C210-VLOOKUP($A210-1,$A$28:$C210,3,0))/30,0)/12*$F210)
))</f>
        <v/>
      </c>
      <c r="F210" s="107">
        <f t="shared" si="27"/>
        <v>0.06</v>
      </c>
      <c r="G210" s="795">
        <f t="shared" si="23"/>
        <v>0</v>
      </c>
      <c r="H210" s="795">
        <f t="shared" si="28"/>
        <v>0</v>
      </c>
      <c r="I210" s="795">
        <f t="shared" si="29"/>
        <v>0</v>
      </c>
      <c r="J210" s="795">
        <f t="shared" si="30"/>
        <v>0</v>
      </c>
      <c r="K210" s="108">
        <f t="shared" si="24"/>
        <v>2030</v>
      </c>
      <c r="L210" s="646" t="str">
        <f t="shared" si="25"/>
        <v/>
      </c>
    </row>
    <row r="211" spans="1:12" ht="12.75" customHeight="1">
      <c r="A211" s="645">
        <f>IF(B211&lt;&gt;"",MAX(A$28:A210)+1,IF(ISNA(HLOOKUP(DATE(YEAR($C$21),MONTH(C211),DAY(C211)),$C$21:$N$21,1,0)),"",MAX(A$28:A210)+1))</f>
        <v>61</v>
      </c>
      <c r="B211" s="91">
        <f>IF(C211&lt;$K$16,"",IF(ISNA(HLOOKUP(DATE(YEAR($C$20),MONTH($C211),DAY($C211)),$C$20:$N$20,1,0)),"",MAX(B$28:B210)+1))</f>
        <v>49</v>
      </c>
      <c r="C211" s="106">
        <f t="shared" si="31"/>
        <v>47573</v>
      </c>
      <c r="D211" s="795">
        <f t="shared" si="26"/>
        <v>18718.147936548517</v>
      </c>
      <c r="E211" s="795">
        <f>IF($A211="","",IF($A211=1,D$29*$F211*($C211-$C$28)/$K$17,
(D211*ROUND(($C211-VLOOKUP($A211-1,$A$28:$C211,3,0))/30,0)/12*$F211)
))</f>
        <v>280.77221904822773</v>
      </c>
      <c r="F211" s="107">
        <f t="shared" si="27"/>
        <v>0.06</v>
      </c>
      <c r="G211" s="795">
        <f t="shared" si="23"/>
        <v>883.65439257668095</v>
      </c>
      <c r="H211" s="795">
        <f t="shared" si="28"/>
        <v>717.64705882352939</v>
      </c>
      <c r="I211" s="795">
        <f t="shared" si="29"/>
        <v>883.65439257668095</v>
      </c>
      <c r="J211" s="795">
        <f t="shared" si="30"/>
        <v>1164.4266116249087</v>
      </c>
      <c r="K211" s="108">
        <f t="shared" si="24"/>
        <v>2030</v>
      </c>
      <c r="L211" s="646" t="str">
        <f t="shared" si="25"/>
        <v/>
      </c>
    </row>
    <row r="212" spans="1:12" ht="12.75" customHeight="1">
      <c r="A212" s="645" t="str">
        <f>IF(B212&lt;&gt;"",MAX(A$28:A211)+1,IF(ISNA(HLOOKUP(DATE(YEAR($C$21),MONTH(C212),DAY(C212)),$C$21:$N$21,1,0)),"",MAX(A$28:A211)+1))</f>
        <v/>
      </c>
      <c r="B212" s="91" t="str">
        <f>IF(C212&lt;$K$16,"",IF(ISNA(HLOOKUP(DATE(YEAR($C$20),MONTH($C212),DAY($C212)),$C$20:$N$20,1,0)),"",MAX(B$28:B211)+1))</f>
        <v/>
      </c>
      <c r="C212" s="106">
        <f t="shared" si="31"/>
        <v>47603</v>
      </c>
      <c r="D212" s="795">
        <f t="shared" si="26"/>
        <v>17834.493543971836</v>
      </c>
      <c r="E212" s="795" t="str">
        <f>IF($A212="","",IF($A212=1,D$29*$F212*($C212-$C$28)/$K$17,
(D212*ROUND(($C212-VLOOKUP($A212-1,$A$28:$C212,3,0))/30,0)/12*$F212)
))</f>
        <v/>
      </c>
      <c r="F212" s="107">
        <f t="shared" si="27"/>
        <v>0.06</v>
      </c>
      <c r="G212" s="795">
        <f t="shared" si="23"/>
        <v>0</v>
      </c>
      <c r="H212" s="795">
        <f t="shared" si="28"/>
        <v>0</v>
      </c>
      <c r="I212" s="795">
        <f t="shared" si="29"/>
        <v>0</v>
      </c>
      <c r="J212" s="795">
        <f t="shared" si="30"/>
        <v>0</v>
      </c>
      <c r="K212" s="108">
        <f t="shared" si="24"/>
        <v>2030</v>
      </c>
      <c r="L212" s="646" t="str">
        <f t="shared" si="25"/>
        <v/>
      </c>
    </row>
    <row r="213" spans="1:12" ht="12.75" customHeight="1">
      <c r="A213" s="645" t="str">
        <f>IF(B213&lt;&gt;"",MAX(A$28:A212)+1,IF(ISNA(HLOOKUP(DATE(YEAR($C$21),MONTH(C213),DAY(C213)),$C$21:$N$21,1,0)),"",MAX(A$28:A212)+1))</f>
        <v/>
      </c>
      <c r="B213" s="91" t="str">
        <f>IF(C213&lt;$K$16,"",IF(ISNA(HLOOKUP(DATE(YEAR($C$20),MONTH($C213),DAY($C213)),$C$20:$N$20,1,0)),"",MAX(B$28:B212)+1))</f>
        <v/>
      </c>
      <c r="C213" s="106">
        <f t="shared" si="31"/>
        <v>47634</v>
      </c>
      <c r="D213" s="795">
        <f t="shared" si="26"/>
        <v>17834.493543971836</v>
      </c>
      <c r="E213" s="795" t="str">
        <f>IF($A213="","",IF($A213=1,D$29*$F213*($C213-$C$28)/$K$17,
(D213*ROUND(($C213-VLOOKUP($A213-1,$A$28:$C213,3,0))/30,0)/12*$F213)
))</f>
        <v/>
      </c>
      <c r="F213" s="107">
        <f t="shared" si="27"/>
        <v>0.06</v>
      </c>
      <c r="G213" s="795">
        <f t="shared" si="23"/>
        <v>0</v>
      </c>
      <c r="H213" s="795">
        <f t="shared" si="28"/>
        <v>0</v>
      </c>
      <c r="I213" s="795">
        <f t="shared" si="29"/>
        <v>0</v>
      </c>
      <c r="J213" s="795">
        <f t="shared" si="30"/>
        <v>0</v>
      </c>
      <c r="K213" s="108">
        <f t="shared" si="24"/>
        <v>2030</v>
      </c>
      <c r="L213" s="646" t="str">
        <f t="shared" si="25"/>
        <v/>
      </c>
    </row>
    <row r="214" spans="1:12" ht="12.75" customHeight="1">
      <c r="A214" s="645">
        <f>IF(B214&lt;&gt;"",MAX(A$28:A213)+1,IF(ISNA(HLOOKUP(DATE(YEAR($C$21),MONTH(C214),DAY(C214)),$C$21:$N$21,1,0)),"",MAX(A$28:A213)+1))</f>
        <v>62</v>
      </c>
      <c r="B214" s="91">
        <f>IF(C214&lt;$K$16,"",IF(ISNA(HLOOKUP(DATE(YEAR($C$20),MONTH($C214),DAY($C214)),$C$20:$N$20,1,0)),"",MAX(B$28:B213)+1))</f>
        <v>50</v>
      </c>
      <c r="C214" s="106">
        <f t="shared" si="31"/>
        <v>47664</v>
      </c>
      <c r="D214" s="795">
        <f t="shared" si="26"/>
        <v>17834.493543971836</v>
      </c>
      <c r="E214" s="795">
        <f>IF($A214="","",IF($A214=1,D$29*$F214*($C214-$C$28)/$K$17,
(D214*ROUND(($C214-VLOOKUP($A214-1,$A$28:$C214,3,0))/30,0)/12*$F214)
))</f>
        <v>267.5174031595775</v>
      </c>
      <c r="F214" s="107">
        <f t="shared" si="27"/>
        <v>0.06</v>
      </c>
      <c r="G214" s="795">
        <f t="shared" si="23"/>
        <v>896.90920846533118</v>
      </c>
      <c r="H214" s="795">
        <f t="shared" si="28"/>
        <v>717.64705882352939</v>
      </c>
      <c r="I214" s="795">
        <f t="shared" si="29"/>
        <v>896.90920846533118</v>
      </c>
      <c r="J214" s="795">
        <f t="shared" si="30"/>
        <v>1164.4266116249087</v>
      </c>
      <c r="K214" s="108">
        <f t="shared" si="24"/>
        <v>2030</v>
      </c>
      <c r="L214" s="646" t="str">
        <f t="shared" si="25"/>
        <v/>
      </c>
    </row>
    <row r="215" spans="1:12" ht="12.75" customHeight="1">
      <c r="A215" s="645" t="str">
        <f>IF(B215&lt;&gt;"",MAX(A$28:A214)+1,IF(ISNA(HLOOKUP(DATE(YEAR($C$21),MONTH(C215),DAY(C215)),$C$21:$N$21,1,0)),"",MAX(A$28:A214)+1))</f>
        <v/>
      </c>
      <c r="B215" s="91" t="str">
        <f>IF(C215&lt;$K$16,"",IF(ISNA(HLOOKUP(DATE(YEAR($C$20),MONTH($C215),DAY($C215)),$C$20:$N$20,1,0)),"",MAX(B$28:B214)+1))</f>
        <v/>
      </c>
      <c r="C215" s="106">
        <f t="shared" si="31"/>
        <v>47695</v>
      </c>
      <c r="D215" s="795">
        <f t="shared" si="26"/>
        <v>16937.584335506504</v>
      </c>
      <c r="E215" s="795" t="str">
        <f>IF($A215="","",IF($A215=1,D$29*$F215*($C215-$C$28)/$K$17,
(D215*ROUND(($C215-VLOOKUP($A215-1,$A$28:$C215,3,0))/30,0)/12*$F215)
))</f>
        <v/>
      </c>
      <c r="F215" s="107">
        <f t="shared" si="27"/>
        <v>0.06</v>
      </c>
      <c r="G215" s="795">
        <f t="shared" si="23"/>
        <v>0</v>
      </c>
      <c r="H215" s="795">
        <f t="shared" si="28"/>
        <v>0</v>
      </c>
      <c r="I215" s="795">
        <f t="shared" si="29"/>
        <v>0</v>
      </c>
      <c r="J215" s="795">
        <f t="shared" si="30"/>
        <v>0</v>
      </c>
      <c r="K215" s="108">
        <f t="shared" si="24"/>
        <v>2030</v>
      </c>
      <c r="L215" s="646" t="str">
        <f t="shared" si="25"/>
        <v/>
      </c>
    </row>
    <row r="216" spans="1:12" ht="12.75" customHeight="1">
      <c r="A216" s="645" t="str">
        <f>IF(B216&lt;&gt;"",MAX(A$28:A215)+1,IF(ISNA(HLOOKUP(DATE(YEAR($C$21),MONTH(C216),DAY(C216)),$C$21:$N$21,1,0)),"",MAX(A$28:A215)+1))</f>
        <v/>
      </c>
      <c r="B216" s="91" t="str">
        <f>IF(C216&lt;$K$16,"",IF(ISNA(HLOOKUP(DATE(YEAR($C$20),MONTH($C216),DAY($C216)),$C$20:$N$20,1,0)),"",MAX(B$28:B215)+1))</f>
        <v/>
      </c>
      <c r="C216" s="106">
        <f t="shared" si="31"/>
        <v>47726</v>
      </c>
      <c r="D216" s="795">
        <f t="shared" si="26"/>
        <v>16937.584335506504</v>
      </c>
      <c r="E216" s="795" t="str">
        <f>IF($A216="","",IF($A216=1,D$29*$F216*($C216-$C$28)/$K$17,
(D216*ROUND(($C216-VLOOKUP($A216-1,$A$28:$C216,3,0))/30,0)/12*$F216)
))</f>
        <v/>
      </c>
      <c r="F216" s="107">
        <f t="shared" si="27"/>
        <v>0.06</v>
      </c>
      <c r="G216" s="795">
        <f t="shared" si="23"/>
        <v>0</v>
      </c>
      <c r="H216" s="795">
        <f t="shared" si="28"/>
        <v>0</v>
      </c>
      <c r="I216" s="795">
        <f t="shared" si="29"/>
        <v>0</v>
      </c>
      <c r="J216" s="795">
        <f t="shared" si="30"/>
        <v>0</v>
      </c>
      <c r="K216" s="108">
        <f t="shared" si="24"/>
        <v>2030</v>
      </c>
      <c r="L216" s="646" t="str">
        <f t="shared" si="25"/>
        <v/>
      </c>
    </row>
    <row r="217" spans="1:12" ht="12.75" customHeight="1">
      <c r="A217" s="645">
        <f>IF(B217&lt;&gt;"",MAX(A$28:A216)+1,IF(ISNA(HLOOKUP(DATE(YEAR($C$21),MONTH(C217),DAY(C217)),$C$21:$N$21,1,0)),"",MAX(A$28:A216)+1))</f>
        <v>63</v>
      </c>
      <c r="B217" s="91">
        <f>IF(C217&lt;$K$16,"",IF(ISNA(HLOOKUP(DATE(YEAR($C$20),MONTH($C217),DAY($C217)),$C$20:$N$20,1,0)),"",MAX(B$28:B216)+1))</f>
        <v>51</v>
      </c>
      <c r="C217" s="106">
        <f t="shared" si="31"/>
        <v>47756</v>
      </c>
      <c r="D217" s="795">
        <f t="shared" si="26"/>
        <v>16937.584335506504</v>
      </c>
      <c r="E217" s="795">
        <f>IF($A217="","",IF($A217=1,D$29*$F217*($C217-$C$28)/$K$17,
(D217*ROUND(($C217-VLOOKUP($A217-1,$A$28:$C217,3,0))/30,0)/12*$F217)
))</f>
        <v>254.06376503259756</v>
      </c>
      <c r="F217" s="107">
        <f t="shared" si="27"/>
        <v>0.06</v>
      </c>
      <c r="G217" s="795">
        <f t="shared" si="23"/>
        <v>910.36284659231114</v>
      </c>
      <c r="H217" s="795">
        <f t="shared" si="28"/>
        <v>717.64705882352939</v>
      </c>
      <c r="I217" s="795">
        <f t="shared" si="29"/>
        <v>910.36284659231114</v>
      </c>
      <c r="J217" s="795">
        <f t="shared" si="30"/>
        <v>1164.4266116249087</v>
      </c>
      <c r="K217" s="108">
        <f t="shared" si="24"/>
        <v>2030</v>
      </c>
      <c r="L217" s="646" t="str">
        <f t="shared" si="25"/>
        <v/>
      </c>
    </row>
    <row r="218" spans="1:12" ht="12.75" customHeight="1">
      <c r="A218" s="645" t="str">
        <f>IF(B218&lt;&gt;"",MAX(A$28:A217)+1,IF(ISNA(HLOOKUP(DATE(YEAR($C$21),MONTH(C218),DAY(C218)),$C$21:$N$21,1,0)),"",MAX(A$28:A217)+1))</f>
        <v/>
      </c>
      <c r="B218" s="91" t="str">
        <f>IF(C218&lt;$K$16,"",IF(ISNA(HLOOKUP(DATE(YEAR($C$20),MONTH($C218),DAY($C218)),$C$20:$N$20,1,0)),"",MAX(B$28:B217)+1))</f>
        <v/>
      </c>
      <c r="C218" s="106">
        <f t="shared" si="31"/>
        <v>47787</v>
      </c>
      <c r="D218" s="795">
        <f t="shared" si="26"/>
        <v>16027.221488914194</v>
      </c>
      <c r="E218" s="795" t="str">
        <f>IF($A218="","",IF($A218=1,D$29*$F218*($C218-$C$28)/$K$17,
(D218*ROUND(($C218-VLOOKUP($A218-1,$A$28:$C218,3,0))/30,0)/12*$F218)
))</f>
        <v/>
      </c>
      <c r="F218" s="107">
        <f t="shared" si="27"/>
        <v>0.06</v>
      </c>
      <c r="G218" s="795">
        <f t="shared" si="23"/>
        <v>0</v>
      </c>
      <c r="H218" s="795">
        <f t="shared" si="28"/>
        <v>0</v>
      </c>
      <c r="I218" s="795">
        <f t="shared" si="29"/>
        <v>0</v>
      </c>
      <c r="J218" s="795">
        <f t="shared" si="30"/>
        <v>0</v>
      </c>
      <c r="K218" s="108">
        <f t="shared" si="24"/>
        <v>2030</v>
      </c>
      <c r="L218" s="646" t="str">
        <f t="shared" si="25"/>
        <v/>
      </c>
    </row>
    <row r="219" spans="1:12" ht="12.75" customHeight="1">
      <c r="A219" s="645" t="str">
        <f>IF(B219&lt;&gt;"",MAX(A$28:A218)+1,IF(ISNA(HLOOKUP(DATE(YEAR($C$21),MONTH(C219),DAY(C219)),$C$21:$N$21,1,0)),"",MAX(A$28:A218)+1))</f>
        <v/>
      </c>
      <c r="B219" s="91" t="str">
        <f>IF(C219&lt;$K$16,"",IF(ISNA(HLOOKUP(DATE(YEAR($C$20),MONTH($C219),DAY($C219)),$C$20:$N$20,1,0)),"",MAX(B$28:B218)+1))</f>
        <v/>
      </c>
      <c r="C219" s="106">
        <f t="shared" si="31"/>
        <v>47817</v>
      </c>
      <c r="D219" s="795">
        <f t="shared" si="26"/>
        <v>16027.221488914194</v>
      </c>
      <c r="E219" s="795" t="str">
        <f>IF($A219="","",IF($A219=1,D$29*$F219*($C219-$C$28)/$K$17,
(D219*ROUND(($C219-VLOOKUP($A219-1,$A$28:$C219,3,0))/30,0)/12*$F219)
))</f>
        <v/>
      </c>
      <c r="F219" s="107">
        <f t="shared" si="27"/>
        <v>0.06</v>
      </c>
      <c r="G219" s="795">
        <f t="shared" si="23"/>
        <v>0</v>
      </c>
      <c r="H219" s="795">
        <f t="shared" si="28"/>
        <v>0</v>
      </c>
      <c r="I219" s="795">
        <f t="shared" si="29"/>
        <v>0</v>
      </c>
      <c r="J219" s="795">
        <f t="shared" si="30"/>
        <v>0</v>
      </c>
      <c r="K219" s="108">
        <f t="shared" si="24"/>
        <v>2030</v>
      </c>
      <c r="L219" s="646" t="str">
        <f t="shared" si="25"/>
        <v/>
      </c>
    </row>
    <row r="220" spans="1:12" ht="12.75" customHeight="1">
      <c r="A220" s="645">
        <f>IF(B220&lt;&gt;"",MAX(A$28:A219)+1,IF(ISNA(HLOOKUP(DATE(YEAR($C$21),MONTH(C220),DAY(C220)),$C$21:$N$21,1,0)),"",MAX(A$28:A219)+1))</f>
        <v>64</v>
      </c>
      <c r="B220" s="91">
        <f>IF(C220&lt;$K$16,"",IF(ISNA(HLOOKUP(DATE(YEAR($C$20),MONTH($C220),DAY($C220)),$C$20:$N$20,1,0)),"",MAX(B$28:B219)+1))</f>
        <v>52</v>
      </c>
      <c r="C220" s="106">
        <f t="shared" si="31"/>
        <v>47848</v>
      </c>
      <c r="D220" s="795">
        <f t="shared" si="26"/>
        <v>16027.221488914194</v>
      </c>
      <c r="E220" s="795">
        <f>IF($A220="","",IF($A220=1,D$29*$F220*($C220-$C$28)/$K$17,
(D220*ROUND(($C220-VLOOKUP($A220-1,$A$28:$C220,3,0))/30,0)/12*$F220)
))</f>
        <v>240.40832233371293</v>
      </c>
      <c r="F220" s="107">
        <f t="shared" si="27"/>
        <v>0.06</v>
      </c>
      <c r="G220" s="795">
        <f t="shared" ref="G220:G283" si="32">IF($A$26=1,I220,H220)</f>
        <v>924.01828929119574</v>
      </c>
      <c r="H220" s="795">
        <f t="shared" si="28"/>
        <v>717.64705882352939</v>
      </c>
      <c r="I220" s="795">
        <f t="shared" si="29"/>
        <v>924.01828929119574</v>
      </c>
      <c r="J220" s="795">
        <f t="shared" si="30"/>
        <v>1164.4266116249087</v>
      </c>
      <c r="K220" s="108">
        <f t="shared" ref="K220:K283" si="33">YEAR(C220)</f>
        <v>2030</v>
      </c>
      <c r="L220" s="646" t="str">
        <f t="shared" ref="L220:L283" si="34">IF(AND(D220&gt;1,D221&lt;1),C220,"")</f>
        <v/>
      </c>
    </row>
    <row r="221" spans="1:12" ht="12.75" customHeight="1">
      <c r="A221" s="645" t="str">
        <f>IF(B221&lt;&gt;"",MAX(A$28:A220)+1,IF(ISNA(HLOOKUP(DATE(YEAR($C$21),MONTH(C221),DAY(C221)),$C$21:$N$21,1,0)),"",MAX(A$28:A220)+1))</f>
        <v/>
      </c>
      <c r="B221" s="91" t="str">
        <f>IF(C221&lt;$K$16,"",IF(ISNA(HLOOKUP(DATE(YEAR($C$20),MONTH($C221),DAY($C221)),$C$20:$N$20,1,0)),"",MAX(B$28:B220)+1))</f>
        <v/>
      </c>
      <c r="C221" s="106">
        <f t="shared" si="31"/>
        <v>47879</v>
      </c>
      <c r="D221" s="795">
        <f t="shared" ref="D221:D284" si="35">D220-G220</f>
        <v>15103.203199622998</v>
      </c>
      <c r="E221" s="795" t="str">
        <f>IF($A221="","",IF($A221=1,D$29*$F221*($C221-$C$28)/$K$17,
(D221*ROUND(($C221-VLOOKUP($A221-1,$A$28:$C221,3,0))/30,0)/12*$F221)
))</f>
        <v/>
      </c>
      <c r="F221" s="107">
        <f t="shared" ref="F221:F284" si="36">IF(C221&gt;=$E$16,$E$15,$C$15)</f>
        <v>0.06</v>
      </c>
      <c r="G221" s="795">
        <f t="shared" si="32"/>
        <v>0</v>
      </c>
      <c r="H221" s="795">
        <f t="shared" ref="H221:H284" si="37">IF(B221="",0,MIN(D221,$E$14*$K$15/$H$16))</f>
        <v>0</v>
      </c>
      <c r="I221" s="795">
        <f t="shared" ref="I221:I284" si="38">IF(B221="",0,MIN(D220,IF(C221&gt;$E$16,$H$18,$H$15)/$H$16-E221))</f>
        <v>0</v>
      </c>
      <c r="J221" s="795">
        <f t="shared" ref="J221:J284" si="39">SUM(E221,G221)</f>
        <v>0</v>
      </c>
      <c r="K221" s="108">
        <f t="shared" si="33"/>
        <v>2031</v>
      </c>
      <c r="L221" s="646" t="str">
        <f t="shared" si="34"/>
        <v/>
      </c>
    </row>
    <row r="222" spans="1:12" ht="12.75" customHeight="1">
      <c r="A222" s="645" t="str">
        <f>IF(B222&lt;&gt;"",MAX(A$28:A221)+1,IF(ISNA(HLOOKUP(DATE(YEAR($C$21),MONTH(C222),DAY(C222)),$C$21:$N$21,1,0)),"",MAX(A$28:A221)+1))</f>
        <v/>
      </c>
      <c r="B222" s="91" t="str">
        <f>IF(C222&lt;$K$16,"",IF(ISNA(HLOOKUP(DATE(YEAR($C$20),MONTH($C222),DAY($C222)),$C$20:$N$20,1,0)),"",MAX(B$28:B221)+1))</f>
        <v/>
      </c>
      <c r="C222" s="106">
        <f t="shared" ref="C222:C285" si="40">DATE(YEAR(C221),MONTH(C221)+2,1)-1</f>
        <v>47907</v>
      </c>
      <c r="D222" s="795">
        <f t="shared" si="35"/>
        <v>15103.203199622998</v>
      </c>
      <c r="E222" s="795" t="str">
        <f>IF($A222="","",IF($A222=1,D$29*$F222*($C222-$C$28)/$K$17,
(D222*ROUND(($C222-VLOOKUP($A222-1,$A$28:$C222,3,0))/30,0)/12*$F222)
))</f>
        <v/>
      </c>
      <c r="F222" s="107">
        <f t="shared" si="36"/>
        <v>0.06</v>
      </c>
      <c r="G222" s="795">
        <f t="shared" si="32"/>
        <v>0</v>
      </c>
      <c r="H222" s="795">
        <f t="shared" si="37"/>
        <v>0</v>
      </c>
      <c r="I222" s="795">
        <f t="shared" si="38"/>
        <v>0</v>
      </c>
      <c r="J222" s="795">
        <f t="shared" si="39"/>
        <v>0</v>
      </c>
      <c r="K222" s="108">
        <f t="shared" si="33"/>
        <v>2031</v>
      </c>
      <c r="L222" s="646" t="str">
        <f t="shared" si="34"/>
        <v/>
      </c>
    </row>
    <row r="223" spans="1:12" ht="12.75" customHeight="1">
      <c r="A223" s="645">
        <f>IF(B223&lt;&gt;"",MAX(A$28:A222)+1,IF(ISNA(HLOOKUP(DATE(YEAR($C$21),MONTH(C223),DAY(C223)),$C$21:$N$21,1,0)),"",MAX(A$28:A222)+1))</f>
        <v>65</v>
      </c>
      <c r="B223" s="91">
        <f>IF(C223&lt;$K$16,"",IF(ISNA(HLOOKUP(DATE(YEAR($C$20),MONTH($C223),DAY($C223)),$C$20:$N$20,1,0)),"",MAX(B$28:B222)+1))</f>
        <v>53</v>
      </c>
      <c r="C223" s="106">
        <f t="shared" si="40"/>
        <v>47938</v>
      </c>
      <c r="D223" s="795">
        <f t="shared" si="35"/>
        <v>15103.203199622998</v>
      </c>
      <c r="E223" s="795">
        <f>IF($A223="","",IF($A223=1,D$29*$F223*($C223-$C$28)/$K$17,
(D223*ROUND(($C223-VLOOKUP($A223-1,$A$28:$C223,3,0))/30,0)/12*$F223)
))</f>
        <v>226.54804799434496</v>
      </c>
      <c r="F223" s="107">
        <f t="shared" si="36"/>
        <v>0.06</v>
      </c>
      <c r="G223" s="795">
        <f t="shared" si="32"/>
        <v>937.87856363056369</v>
      </c>
      <c r="H223" s="795">
        <f t="shared" si="37"/>
        <v>717.64705882352939</v>
      </c>
      <c r="I223" s="795">
        <f t="shared" si="38"/>
        <v>937.87856363056369</v>
      </c>
      <c r="J223" s="795">
        <f t="shared" si="39"/>
        <v>1164.4266116249087</v>
      </c>
      <c r="K223" s="108">
        <f t="shared" si="33"/>
        <v>2031</v>
      </c>
      <c r="L223" s="646" t="str">
        <f t="shared" si="34"/>
        <v/>
      </c>
    </row>
    <row r="224" spans="1:12" ht="12.75" customHeight="1">
      <c r="A224" s="645" t="str">
        <f>IF(B224&lt;&gt;"",MAX(A$28:A223)+1,IF(ISNA(HLOOKUP(DATE(YEAR($C$21),MONTH(C224),DAY(C224)),$C$21:$N$21,1,0)),"",MAX(A$28:A223)+1))</f>
        <v/>
      </c>
      <c r="B224" s="91" t="str">
        <f>IF(C224&lt;$K$16,"",IF(ISNA(HLOOKUP(DATE(YEAR($C$20),MONTH($C224),DAY($C224)),$C$20:$N$20,1,0)),"",MAX(B$28:B223)+1))</f>
        <v/>
      </c>
      <c r="C224" s="106">
        <f t="shared" si="40"/>
        <v>47968</v>
      </c>
      <c r="D224" s="795">
        <f t="shared" si="35"/>
        <v>14165.324635992434</v>
      </c>
      <c r="E224" s="795" t="str">
        <f>IF($A224="","",IF($A224=1,D$29*$F224*($C224-$C$28)/$K$17,
(D224*ROUND(($C224-VLOOKUP($A224-1,$A$28:$C224,3,0))/30,0)/12*$F224)
))</f>
        <v/>
      </c>
      <c r="F224" s="107">
        <f t="shared" si="36"/>
        <v>0.06</v>
      </c>
      <c r="G224" s="795">
        <f t="shared" si="32"/>
        <v>0</v>
      </c>
      <c r="H224" s="795">
        <f t="shared" si="37"/>
        <v>0</v>
      </c>
      <c r="I224" s="795">
        <f t="shared" si="38"/>
        <v>0</v>
      </c>
      <c r="J224" s="795">
        <f t="shared" si="39"/>
        <v>0</v>
      </c>
      <c r="K224" s="108">
        <f t="shared" si="33"/>
        <v>2031</v>
      </c>
      <c r="L224" s="646" t="str">
        <f t="shared" si="34"/>
        <v/>
      </c>
    </row>
    <row r="225" spans="1:12" ht="12.75" customHeight="1">
      <c r="A225" s="645" t="str">
        <f>IF(B225&lt;&gt;"",MAX(A$28:A224)+1,IF(ISNA(HLOOKUP(DATE(YEAR($C$21),MONTH(C225),DAY(C225)),$C$21:$N$21,1,0)),"",MAX(A$28:A224)+1))</f>
        <v/>
      </c>
      <c r="B225" s="91" t="str">
        <f>IF(C225&lt;$K$16,"",IF(ISNA(HLOOKUP(DATE(YEAR($C$20),MONTH($C225),DAY($C225)),$C$20:$N$20,1,0)),"",MAX(B$28:B224)+1))</f>
        <v/>
      </c>
      <c r="C225" s="106">
        <f t="shared" si="40"/>
        <v>47999</v>
      </c>
      <c r="D225" s="795">
        <f t="shared" si="35"/>
        <v>14165.324635992434</v>
      </c>
      <c r="E225" s="795" t="str">
        <f>IF($A225="","",IF($A225=1,D$29*$F225*($C225-$C$28)/$K$17,
(D225*ROUND(($C225-VLOOKUP($A225-1,$A$28:$C225,3,0))/30,0)/12*$F225)
))</f>
        <v/>
      </c>
      <c r="F225" s="107">
        <f t="shared" si="36"/>
        <v>0.06</v>
      </c>
      <c r="G225" s="795">
        <f t="shared" si="32"/>
        <v>0</v>
      </c>
      <c r="H225" s="795">
        <f t="shared" si="37"/>
        <v>0</v>
      </c>
      <c r="I225" s="795">
        <f t="shared" si="38"/>
        <v>0</v>
      </c>
      <c r="J225" s="795">
        <f t="shared" si="39"/>
        <v>0</v>
      </c>
      <c r="K225" s="108">
        <f t="shared" si="33"/>
        <v>2031</v>
      </c>
      <c r="L225" s="646" t="str">
        <f t="shared" si="34"/>
        <v/>
      </c>
    </row>
    <row r="226" spans="1:12" ht="12.75" customHeight="1">
      <c r="A226" s="645">
        <f>IF(B226&lt;&gt;"",MAX(A$28:A225)+1,IF(ISNA(HLOOKUP(DATE(YEAR($C$21),MONTH(C226),DAY(C226)),$C$21:$N$21,1,0)),"",MAX(A$28:A225)+1))</f>
        <v>66</v>
      </c>
      <c r="B226" s="91">
        <f>IF(C226&lt;$K$16,"",IF(ISNA(HLOOKUP(DATE(YEAR($C$20),MONTH($C226),DAY($C226)),$C$20:$N$20,1,0)),"",MAX(B$28:B225)+1))</f>
        <v>54</v>
      </c>
      <c r="C226" s="106">
        <f t="shared" si="40"/>
        <v>48029</v>
      </c>
      <c r="D226" s="795">
        <f t="shared" si="35"/>
        <v>14165.324635992434</v>
      </c>
      <c r="E226" s="795">
        <f>IF($A226="","",IF($A226=1,D$29*$F226*($C226-$C$28)/$K$17,
(D226*ROUND(($C226-VLOOKUP($A226-1,$A$28:$C226,3,0))/30,0)/12*$F226)
))</f>
        <v>212.47986953988647</v>
      </c>
      <c r="F226" s="107">
        <f t="shared" si="36"/>
        <v>0.06</v>
      </c>
      <c r="G226" s="795">
        <f t="shared" si="32"/>
        <v>951.94674208502215</v>
      </c>
      <c r="H226" s="795">
        <f t="shared" si="37"/>
        <v>717.64705882352939</v>
      </c>
      <c r="I226" s="795">
        <f t="shared" si="38"/>
        <v>951.94674208502215</v>
      </c>
      <c r="J226" s="795">
        <f t="shared" si="39"/>
        <v>1164.4266116249087</v>
      </c>
      <c r="K226" s="108">
        <f t="shared" si="33"/>
        <v>2031</v>
      </c>
      <c r="L226" s="646" t="str">
        <f t="shared" si="34"/>
        <v/>
      </c>
    </row>
    <row r="227" spans="1:12" ht="12.75" customHeight="1">
      <c r="A227" s="645" t="str">
        <f>IF(B227&lt;&gt;"",MAX(A$28:A226)+1,IF(ISNA(HLOOKUP(DATE(YEAR($C$21),MONTH(C227),DAY(C227)),$C$21:$N$21,1,0)),"",MAX(A$28:A226)+1))</f>
        <v/>
      </c>
      <c r="B227" s="91" t="str">
        <f>IF(C227&lt;$K$16,"",IF(ISNA(HLOOKUP(DATE(YEAR($C$20),MONTH($C227),DAY($C227)),$C$20:$N$20,1,0)),"",MAX(B$28:B226)+1))</f>
        <v/>
      </c>
      <c r="C227" s="106">
        <f t="shared" si="40"/>
        <v>48060</v>
      </c>
      <c r="D227" s="795">
        <f t="shared" si="35"/>
        <v>13213.377893907413</v>
      </c>
      <c r="E227" s="795" t="str">
        <f>IF($A227="","",IF($A227=1,D$29*$F227*($C227-$C$28)/$K$17,
(D227*ROUND(($C227-VLOOKUP($A227-1,$A$28:$C227,3,0))/30,0)/12*$F227)
))</f>
        <v/>
      </c>
      <c r="F227" s="107">
        <f t="shared" si="36"/>
        <v>0.06</v>
      </c>
      <c r="G227" s="795">
        <f t="shared" si="32"/>
        <v>0</v>
      </c>
      <c r="H227" s="795">
        <f t="shared" si="37"/>
        <v>0</v>
      </c>
      <c r="I227" s="795">
        <f t="shared" si="38"/>
        <v>0</v>
      </c>
      <c r="J227" s="795">
        <f t="shared" si="39"/>
        <v>0</v>
      </c>
      <c r="K227" s="108">
        <f t="shared" si="33"/>
        <v>2031</v>
      </c>
      <c r="L227" s="646" t="str">
        <f t="shared" si="34"/>
        <v/>
      </c>
    </row>
    <row r="228" spans="1:12" ht="12.75" customHeight="1">
      <c r="A228" s="645" t="str">
        <f>IF(B228&lt;&gt;"",MAX(A$28:A227)+1,IF(ISNA(HLOOKUP(DATE(YEAR($C$21),MONTH(C228),DAY(C228)),$C$21:$N$21,1,0)),"",MAX(A$28:A227)+1))</f>
        <v/>
      </c>
      <c r="B228" s="91" t="str">
        <f>IF(C228&lt;$K$16,"",IF(ISNA(HLOOKUP(DATE(YEAR($C$20),MONTH($C228),DAY($C228)),$C$20:$N$20,1,0)),"",MAX(B$28:B227)+1))</f>
        <v/>
      </c>
      <c r="C228" s="106">
        <f t="shared" si="40"/>
        <v>48091</v>
      </c>
      <c r="D228" s="795">
        <f t="shared" si="35"/>
        <v>13213.377893907413</v>
      </c>
      <c r="E228" s="795" t="str">
        <f>IF($A228="","",IF($A228=1,D$29*$F228*($C228-$C$28)/$K$17,
(D228*ROUND(($C228-VLOOKUP($A228-1,$A$28:$C228,3,0))/30,0)/12*$F228)
))</f>
        <v/>
      </c>
      <c r="F228" s="107">
        <f t="shared" si="36"/>
        <v>0.06</v>
      </c>
      <c r="G228" s="795">
        <f t="shared" si="32"/>
        <v>0</v>
      </c>
      <c r="H228" s="795">
        <f t="shared" si="37"/>
        <v>0</v>
      </c>
      <c r="I228" s="795">
        <f t="shared" si="38"/>
        <v>0</v>
      </c>
      <c r="J228" s="795">
        <f t="shared" si="39"/>
        <v>0</v>
      </c>
      <c r="K228" s="108">
        <f t="shared" si="33"/>
        <v>2031</v>
      </c>
      <c r="L228" s="646" t="str">
        <f t="shared" si="34"/>
        <v/>
      </c>
    </row>
    <row r="229" spans="1:12" ht="12.75" customHeight="1">
      <c r="A229" s="645">
        <f>IF(B229&lt;&gt;"",MAX(A$28:A228)+1,IF(ISNA(HLOOKUP(DATE(YEAR($C$21),MONTH(C229),DAY(C229)),$C$21:$N$21,1,0)),"",MAX(A$28:A228)+1))</f>
        <v>67</v>
      </c>
      <c r="B229" s="91">
        <f>IF(C229&lt;$K$16,"",IF(ISNA(HLOOKUP(DATE(YEAR($C$20),MONTH($C229),DAY($C229)),$C$20:$N$20,1,0)),"",MAX(B$28:B228)+1))</f>
        <v>55</v>
      </c>
      <c r="C229" s="106">
        <f t="shared" si="40"/>
        <v>48121</v>
      </c>
      <c r="D229" s="795">
        <f t="shared" si="35"/>
        <v>13213.377893907413</v>
      </c>
      <c r="E229" s="795">
        <f>IF($A229="","",IF($A229=1,D$29*$F229*($C229-$C$28)/$K$17,
(D229*ROUND(($C229-VLOOKUP($A229-1,$A$28:$C229,3,0))/30,0)/12*$F229)
))</f>
        <v>198.20066840861119</v>
      </c>
      <c r="F229" s="107">
        <f t="shared" si="36"/>
        <v>0.06</v>
      </c>
      <c r="G229" s="795">
        <f t="shared" si="32"/>
        <v>966.22594321629754</v>
      </c>
      <c r="H229" s="795">
        <f t="shared" si="37"/>
        <v>717.64705882352939</v>
      </c>
      <c r="I229" s="795">
        <f t="shared" si="38"/>
        <v>966.22594321629754</v>
      </c>
      <c r="J229" s="795">
        <f t="shared" si="39"/>
        <v>1164.4266116249087</v>
      </c>
      <c r="K229" s="108">
        <f t="shared" si="33"/>
        <v>2031</v>
      </c>
      <c r="L229" s="646" t="str">
        <f t="shared" si="34"/>
        <v/>
      </c>
    </row>
    <row r="230" spans="1:12" ht="12.75" customHeight="1">
      <c r="A230" s="645" t="str">
        <f>IF(B230&lt;&gt;"",MAX(A$28:A229)+1,IF(ISNA(HLOOKUP(DATE(YEAR($C$21),MONTH(C230),DAY(C230)),$C$21:$N$21,1,0)),"",MAX(A$28:A229)+1))</f>
        <v/>
      </c>
      <c r="B230" s="91" t="str">
        <f>IF(C230&lt;$K$16,"",IF(ISNA(HLOOKUP(DATE(YEAR($C$20),MONTH($C230),DAY($C230)),$C$20:$N$20,1,0)),"",MAX(B$28:B229)+1))</f>
        <v/>
      </c>
      <c r="C230" s="106">
        <f t="shared" si="40"/>
        <v>48152</v>
      </c>
      <c r="D230" s="795">
        <f t="shared" si="35"/>
        <v>12247.151950691115</v>
      </c>
      <c r="E230" s="795" t="str">
        <f>IF($A230="","",IF($A230=1,D$29*$F230*($C230-$C$28)/$K$17,
(D230*ROUND(($C230-VLOOKUP($A230-1,$A$28:$C230,3,0))/30,0)/12*$F230)
))</f>
        <v/>
      </c>
      <c r="F230" s="107">
        <f t="shared" si="36"/>
        <v>0.06</v>
      </c>
      <c r="G230" s="795">
        <f t="shared" si="32"/>
        <v>0</v>
      </c>
      <c r="H230" s="795">
        <f t="shared" si="37"/>
        <v>0</v>
      </c>
      <c r="I230" s="795">
        <f t="shared" si="38"/>
        <v>0</v>
      </c>
      <c r="J230" s="795">
        <f t="shared" si="39"/>
        <v>0</v>
      </c>
      <c r="K230" s="108">
        <f t="shared" si="33"/>
        <v>2031</v>
      </c>
      <c r="L230" s="646" t="str">
        <f t="shared" si="34"/>
        <v/>
      </c>
    </row>
    <row r="231" spans="1:12" ht="12.75" customHeight="1">
      <c r="A231" s="645" t="str">
        <f>IF(B231&lt;&gt;"",MAX(A$28:A230)+1,IF(ISNA(HLOOKUP(DATE(YEAR($C$21),MONTH(C231),DAY(C231)),$C$21:$N$21,1,0)),"",MAX(A$28:A230)+1))</f>
        <v/>
      </c>
      <c r="B231" s="91" t="str">
        <f>IF(C231&lt;$K$16,"",IF(ISNA(HLOOKUP(DATE(YEAR($C$20),MONTH($C231),DAY($C231)),$C$20:$N$20,1,0)),"",MAX(B$28:B230)+1))</f>
        <v/>
      </c>
      <c r="C231" s="106">
        <f t="shared" si="40"/>
        <v>48182</v>
      </c>
      <c r="D231" s="795">
        <f t="shared" si="35"/>
        <v>12247.151950691115</v>
      </c>
      <c r="E231" s="795" t="str">
        <f>IF($A231="","",IF($A231=1,D$29*$F231*($C231-$C$28)/$K$17,
(D231*ROUND(($C231-VLOOKUP($A231-1,$A$28:$C231,3,0))/30,0)/12*$F231)
))</f>
        <v/>
      </c>
      <c r="F231" s="107">
        <f t="shared" si="36"/>
        <v>0.06</v>
      </c>
      <c r="G231" s="795">
        <f t="shared" si="32"/>
        <v>0</v>
      </c>
      <c r="H231" s="795">
        <f t="shared" si="37"/>
        <v>0</v>
      </c>
      <c r="I231" s="795">
        <f t="shared" si="38"/>
        <v>0</v>
      </c>
      <c r="J231" s="795">
        <f t="shared" si="39"/>
        <v>0</v>
      </c>
      <c r="K231" s="108">
        <f t="shared" si="33"/>
        <v>2031</v>
      </c>
      <c r="L231" s="646" t="str">
        <f t="shared" si="34"/>
        <v/>
      </c>
    </row>
    <row r="232" spans="1:12" ht="12.75" customHeight="1">
      <c r="A232" s="645">
        <f>IF(B232&lt;&gt;"",MAX(A$28:A231)+1,IF(ISNA(HLOOKUP(DATE(YEAR($C$21),MONTH(C232),DAY(C232)),$C$21:$N$21,1,0)),"",MAX(A$28:A231)+1))</f>
        <v>68</v>
      </c>
      <c r="B232" s="91">
        <f>IF(C232&lt;$K$16,"",IF(ISNA(HLOOKUP(DATE(YEAR($C$20),MONTH($C232),DAY($C232)),$C$20:$N$20,1,0)),"",MAX(B$28:B231)+1))</f>
        <v>56</v>
      </c>
      <c r="C232" s="106">
        <f t="shared" si="40"/>
        <v>48213</v>
      </c>
      <c r="D232" s="795">
        <f t="shared" si="35"/>
        <v>12247.151950691115</v>
      </c>
      <c r="E232" s="795">
        <f>IF($A232="","",IF($A232=1,D$29*$F232*($C232-$C$28)/$K$17,
(D232*ROUND(($C232-VLOOKUP($A232-1,$A$28:$C232,3,0))/30,0)/12*$F232)
))</f>
        <v>183.70727926036673</v>
      </c>
      <c r="F232" s="107">
        <f t="shared" si="36"/>
        <v>0.06</v>
      </c>
      <c r="G232" s="795">
        <f t="shared" si="32"/>
        <v>980.71933236454197</v>
      </c>
      <c r="H232" s="795">
        <f t="shared" si="37"/>
        <v>717.64705882352939</v>
      </c>
      <c r="I232" s="795">
        <f t="shared" si="38"/>
        <v>980.71933236454197</v>
      </c>
      <c r="J232" s="795">
        <f t="shared" si="39"/>
        <v>1164.4266116249087</v>
      </c>
      <c r="K232" s="108">
        <f t="shared" si="33"/>
        <v>2031</v>
      </c>
      <c r="L232" s="646" t="str">
        <f t="shared" si="34"/>
        <v/>
      </c>
    </row>
    <row r="233" spans="1:12" ht="12.75" customHeight="1">
      <c r="A233" s="645" t="str">
        <f>IF(B233&lt;&gt;"",MAX(A$28:A232)+1,IF(ISNA(HLOOKUP(DATE(YEAR($C$21),MONTH(C233),DAY(C233)),$C$21:$N$21,1,0)),"",MAX(A$28:A232)+1))</f>
        <v/>
      </c>
      <c r="B233" s="91" t="str">
        <f>IF(C233&lt;$K$16,"",IF(ISNA(HLOOKUP(DATE(YEAR($C$20),MONTH($C233),DAY($C233)),$C$20:$N$20,1,0)),"",MAX(B$28:B232)+1))</f>
        <v/>
      </c>
      <c r="C233" s="106">
        <f t="shared" si="40"/>
        <v>48244</v>
      </c>
      <c r="D233" s="795">
        <f t="shared" si="35"/>
        <v>11266.432618326573</v>
      </c>
      <c r="E233" s="795" t="str">
        <f>IF($A233="","",IF($A233=1,D$29*$F233*($C233-$C$28)/$K$17,
(D233*ROUND(($C233-VLOOKUP($A233-1,$A$28:$C233,3,0))/30,0)/12*$F233)
))</f>
        <v/>
      </c>
      <c r="F233" s="107">
        <f t="shared" si="36"/>
        <v>0.06</v>
      </c>
      <c r="G233" s="795">
        <f t="shared" si="32"/>
        <v>0</v>
      </c>
      <c r="H233" s="795">
        <f t="shared" si="37"/>
        <v>0</v>
      </c>
      <c r="I233" s="795">
        <f t="shared" si="38"/>
        <v>0</v>
      </c>
      <c r="J233" s="795">
        <f t="shared" si="39"/>
        <v>0</v>
      </c>
      <c r="K233" s="108">
        <f t="shared" si="33"/>
        <v>2032</v>
      </c>
      <c r="L233" s="646" t="str">
        <f t="shared" si="34"/>
        <v/>
      </c>
    </row>
    <row r="234" spans="1:12" ht="12.75" customHeight="1">
      <c r="A234" s="645" t="str">
        <f>IF(B234&lt;&gt;"",MAX(A$28:A233)+1,IF(ISNA(HLOOKUP(DATE(YEAR($C$21),MONTH(C234),DAY(C234)),$C$21:$N$21,1,0)),"",MAX(A$28:A233)+1))</f>
        <v/>
      </c>
      <c r="B234" s="91" t="str">
        <f>IF(C234&lt;$K$16,"",IF(ISNA(HLOOKUP(DATE(YEAR($C$20),MONTH($C234),DAY($C234)),$C$20:$N$20,1,0)),"",MAX(B$28:B233)+1))</f>
        <v/>
      </c>
      <c r="C234" s="106">
        <f t="shared" si="40"/>
        <v>48273</v>
      </c>
      <c r="D234" s="795">
        <f t="shared" si="35"/>
        <v>11266.432618326573</v>
      </c>
      <c r="E234" s="795" t="str">
        <f>IF($A234="","",IF($A234=1,D$29*$F234*($C234-$C$28)/$K$17,
(D234*ROUND(($C234-VLOOKUP($A234-1,$A$28:$C234,3,0))/30,0)/12*$F234)
))</f>
        <v/>
      </c>
      <c r="F234" s="107">
        <f t="shared" si="36"/>
        <v>0.06</v>
      </c>
      <c r="G234" s="795">
        <f t="shared" si="32"/>
        <v>0</v>
      </c>
      <c r="H234" s="795">
        <f t="shared" si="37"/>
        <v>0</v>
      </c>
      <c r="I234" s="795">
        <f t="shared" si="38"/>
        <v>0</v>
      </c>
      <c r="J234" s="795">
        <f t="shared" si="39"/>
        <v>0</v>
      </c>
      <c r="K234" s="108">
        <f t="shared" si="33"/>
        <v>2032</v>
      </c>
      <c r="L234" s="646" t="str">
        <f t="shared" si="34"/>
        <v/>
      </c>
    </row>
    <row r="235" spans="1:12" ht="12.75" customHeight="1">
      <c r="A235" s="645">
        <f>IF(B235&lt;&gt;"",MAX(A$28:A234)+1,IF(ISNA(HLOOKUP(DATE(YEAR($C$21),MONTH(C235),DAY(C235)),$C$21:$N$21,1,0)),"",MAX(A$28:A234)+1))</f>
        <v>69</v>
      </c>
      <c r="B235" s="91">
        <f>IF(C235&lt;$K$16,"",IF(ISNA(HLOOKUP(DATE(YEAR($C$20),MONTH($C235),DAY($C235)),$C$20:$N$20,1,0)),"",MAX(B$28:B234)+1))</f>
        <v>57</v>
      </c>
      <c r="C235" s="106">
        <f t="shared" si="40"/>
        <v>48304</v>
      </c>
      <c r="D235" s="795">
        <f t="shared" si="35"/>
        <v>11266.432618326573</v>
      </c>
      <c r="E235" s="795">
        <f>IF($A235="","",IF($A235=1,D$29*$F235*($C235-$C$28)/$K$17,
(D235*ROUND(($C235-VLOOKUP($A235-1,$A$28:$C235,3,0))/30,0)/12*$F235)
))</f>
        <v>168.99648927489858</v>
      </c>
      <c r="F235" s="107">
        <f t="shared" si="36"/>
        <v>0.06</v>
      </c>
      <c r="G235" s="795">
        <f t="shared" si="32"/>
        <v>995.43012235001015</v>
      </c>
      <c r="H235" s="795">
        <f t="shared" si="37"/>
        <v>717.64705882352939</v>
      </c>
      <c r="I235" s="795">
        <f t="shared" si="38"/>
        <v>995.43012235001015</v>
      </c>
      <c r="J235" s="795">
        <f t="shared" si="39"/>
        <v>1164.4266116249087</v>
      </c>
      <c r="K235" s="108">
        <f t="shared" si="33"/>
        <v>2032</v>
      </c>
      <c r="L235" s="646" t="str">
        <f t="shared" si="34"/>
        <v/>
      </c>
    </row>
    <row r="236" spans="1:12" ht="12.75" customHeight="1">
      <c r="A236" s="645" t="str">
        <f>IF(B236&lt;&gt;"",MAX(A$28:A235)+1,IF(ISNA(HLOOKUP(DATE(YEAR($C$21),MONTH(C236),DAY(C236)),$C$21:$N$21,1,0)),"",MAX(A$28:A235)+1))</f>
        <v/>
      </c>
      <c r="B236" s="91" t="str">
        <f>IF(C236&lt;$K$16,"",IF(ISNA(HLOOKUP(DATE(YEAR($C$20),MONTH($C236),DAY($C236)),$C$20:$N$20,1,0)),"",MAX(B$28:B235)+1))</f>
        <v/>
      </c>
      <c r="C236" s="106">
        <f t="shared" si="40"/>
        <v>48334</v>
      </c>
      <c r="D236" s="795">
        <f t="shared" si="35"/>
        <v>10271.002495976563</v>
      </c>
      <c r="E236" s="795" t="str">
        <f>IF($A236="","",IF($A236=1,D$29*$F236*($C236-$C$28)/$K$17,
(D236*ROUND(($C236-VLOOKUP($A236-1,$A$28:$C236,3,0))/30,0)/12*$F236)
))</f>
        <v/>
      </c>
      <c r="F236" s="107">
        <f t="shared" si="36"/>
        <v>0.06</v>
      </c>
      <c r="G236" s="795">
        <f t="shared" si="32"/>
        <v>0</v>
      </c>
      <c r="H236" s="795">
        <f t="shared" si="37"/>
        <v>0</v>
      </c>
      <c r="I236" s="795">
        <f t="shared" si="38"/>
        <v>0</v>
      </c>
      <c r="J236" s="795">
        <f t="shared" si="39"/>
        <v>0</v>
      </c>
      <c r="K236" s="108">
        <f t="shared" si="33"/>
        <v>2032</v>
      </c>
      <c r="L236" s="646" t="str">
        <f t="shared" si="34"/>
        <v/>
      </c>
    </row>
    <row r="237" spans="1:12" ht="12.75" customHeight="1">
      <c r="A237" s="645" t="str">
        <f>IF(B237&lt;&gt;"",MAX(A$28:A236)+1,IF(ISNA(HLOOKUP(DATE(YEAR($C$21),MONTH(C237),DAY(C237)),$C$21:$N$21,1,0)),"",MAX(A$28:A236)+1))</f>
        <v/>
      </c>
      <c r="B237" s="91" t="str">
        <f>IF(C237&lt;$K$16,"",IF(ISNA(HLOOKUP(DATE(YEAR($C$20),MONTH($C237),DAY($C237)),$C$20:$N$20,1,0)),"",MAX(B$28:B236)+1))</f>
        <v/>
      </c>
      <c r="C237" s="106">
        <f t="shared" si="40"/>
        <v>48365</v>
      </c>
      <c r="D237" s="795">
        <f t="shared" si="35"/>
        <v>10271.002495976563</v>
      </c>
      <c r="E237" s="795" t="str">
        <f>IF($A237="","",IF($A237=1,D$29*$F237*($C237-$C$28)/$K$17,
(D237*ROUND(($C237-VLOOKUP($A237-1,$A$28:$C237,3,0))/30,0)/12*$F237)
))</f>
        <v/>
      </c>
      <c r="F237" s="107">
        <f t="shared" si="36"/>
        <v>0.06</v>
      </c>
      <c r="G237" s="795">
        <f t="shared" si="32"/>
        <v>0</v>
      </c>
      <c r="H237" s="795">
        <f t="shared" si="37"/>
        <v>0</v>
      </c>
      <c r="I237" s="795">
        <f t="shared" si="38"/>
        <v>0</v>
      </c>
      <c r="J237" s="795">
        <f t="shared" si="39"/>
        <v>0</v>
      </c>
      <c r="K237" s="108">
        <f t="shared" si="33"/>
        <v>2032</v>
      </c>
      <c r="L237" s="646" t="str">
        <f t="shared" si="34"/>
        <v/>
      </c>
    </row>
    <row r="238" spans="1:12" ht="12.75" customHeight="1">
      <c r="A238" s="645">
        <f>IF(B238&lt;&gt;"",MAX(A$28:A237)+1,IF(ISNA(HLOOKUP(DATE(YEAR($C$21),MONTH(C238),DAY(C238)),$C$21:$N$21,1,0)),"",MAX(A$28:A237)+1))</f>
        <v>70</v>
      </c>
      <c r="B238" s="91">
        <f>IF(C238&lt;$K$16,"",IF(ISNA(HLOOKUP(DATE(YEAR($C$20),MONTH($C238),DAY($C238)),$C$20:$N$20,1,0)),"",MAX(B$28:B237)+1))</f>
        <v>58</v>
      </c>
      <c r="C238" s="106">
        <f t="shared" si="40"/>
        <v>48395</v>
      </c>
      <c r="D238" s="795">
        <f t="shared" si="35"/>
        <v>10271.002495976563</v>
      </c>
      <c r="E238" s="795">
        <f>IF($A238="","",IF($A238=1,D$29*$F238*($C238-$C$28)/$K$17,
(D238*ROUND(($C238-VLOOKUP($A238-1,$A$28:$C238,3,0))/30,0)/12*$F238)
))</f>
        <v>154.06503743964845</v>
      </c>
      <c r="F238" s="107">
        <f t="shared" si="36"/>
        <v>0.06</v>
      </c>
      <c r="G238" s="795">
        <f t="shared" si="32"/>
        <v>1010.3615741852602</v>
      </c>
      <c r="H238" s="795">
        <f t="shared" si="37"/>
        <v>717.64705882352939</v>
      </c>
      <c r="I238" s="795">
        <f t="shared" si="38"/>
        <v>1010.3615741852602</v>
      </c>
      <c r="J238" s="795">
        <f t="shared" si="39"/>
        <v>1164.4266116249087</v>
      </c>
      <c r="K238" s="108">
        <f t="shared" si="33"/>
        <v>2032</v>
      </c>
      <c r="L238" s="646" t="str">
        <f t="shared" si="34"/>
        <v/>
      </c>
    </row>
    <row r="239" spans="1:12" ht="12.75" customHeight="1">
      <c r="A239" s="645" t="str">
        <f>IF(B239&lt;&gt;"",MAX(A$28:A238)+1,IF(ISNA(HLOOKUP(DATE(YEAR($C$21),MONTH(C239),DAY(C239)),$C$21:$N$21,1,0)),"",MAX(A$28:A238)+1))</f>
        <v/>
      </c>
      <c r="B239" s="91" t="str">
        <f>IF(C239&lt;$K$16,"",IF(ISNA(HLOOKUP(DATE(YEAR($C$20),MONTH($C239),DAY($C239)),$C$20:$N$20,1,0)),"",MAX(B$28:B238)+1))</f>
        <v/>
      </c>
      <c r="C239" s="106">
        <f t="shared" si="40"/>
        <v>48426</v>
      </c>
      <c r="D239" s="795">
        <f t="shared" si="35"/>
        <v>9260.6409217913024</v>
      </c>
      <c r="E239" s="795" t="str">
        <f>IF($A239="","",IF($A239=1,D$29*$F239*($C239-$C$28)/$K$17,
(D239*ROUND(($C239-VLOOKUP($A239-1,$A$28:$C239,3,0))/30,0)/12*$F239)
))</f>
        <v/>
      </c>
      <c r="F239" s="107">
        <f t="shared" si="36"/>
        <v>0.06</v>
      </c>
      <c r="G239" s="795">
        <f t="shared" si="32"/>
        <v>0</v>
      </c>
      <c r="H239" s="795">
        <f t="shared" si="37"/>
        <v>0</v>
      </c>
      <c r="I239" s="795">
        <f t="shared" si="38"/>
        <v>0</v>
      </c>
      <c r="J239" s="795">
        <f t="shared" si="39"/>
        <v>0</v>
      </c>
      <c r="K239" s="108">
        <f t="shared" si="33"/>
        <v>2032</v>
      </c>
      <c r="L239" s="646" t="str">
        <f t="shared" si="34"/>
        <v/>
      </c>
    </row>
    <row r="240" spans="1:12" ht="12.75" customHeight="1">
      <c r="A240" s="645" t="str">
        <f>IF(B240&lt;&gt;"",MAX(A$28:A239)+1,IF(ISNA(HLOOKUP(DATE(YEAR($C$21),MONTH(C240),DAY(C240)),$C$21:$N$21,1,0)),"",MAX(A$28:A239)+1))</f>
        <v/>
      </c>
      <c r="B240" s="91" t="str">
        <f>IF(C240&lt;$K$16,"",IF(ISNA(HLOOKUP(DATE(YEAR($C$20),MONTH($C240),DAY($C240)),$C$20:$N$20,1,0)),"",MAX(B$28:B239)+1))</f>
        <v/>
      </c>
      <c r="C240" s="106">
        <f t="shared" si="40"/>
        <v>48457</v>
      </c>
      <c r="D240" s="795">
        <f t="shared" si="35"/>
        <v>9260.6409217913024</v>
      </c>
      <c r="E240" s="795" t="str">
        <f>IF($A240="","",IF($A240=1,D$29*$F240*($C240-$C$28)/$K$17,
(D240*ROUND(($C240-VLOOKUP($A240-1,$A$28:$C240,3,0))/30,0)/12*$F240)
))</f>
        <v/>
      </c>
      <c r="F240" s="107">
        <f t="shared" si="36"/>
        <v>0.06</v>
      </c>
      <c r="G240" s="795">
        <f t="shared" si="32"/>
        <v>0</v>
      </c>
      <c r="H240" s="795">
        <f t="shared" si="37"/>
        <v>0</v>
      </c>
      <c r="I240" s="795">
        <f t="shared" si="38"/>
        <v>0</v>
      </c>
      <c r="J240" s="795">
        <f t="shared" si="39"/>
        <v>0</v>
      </c>
      <c r="K240" s="108">
        <f t="shared" si="33"/>
        <v>2032</v>
      </c>
      <c r="L240" s="646" t="str">
        <f t="shared" si="34"/>
        <v/>
      </c>
    </row>
    <row r="241" spans="1:12" ht="12.75" customHeight="1">
      <c r="A241" s="645">
        <f>IF(B241&lt;&gt;"",MAX(A$28:A240)+1,IF(ISNA(HLOOKUP(DATE(YEAR($C$21),MONTH(C241),DAY(C241)),$C$21:$N$21,1,0)),"",MAX(A$28:A240)+1))</f>
        <v>71</v>
      </c>
      <c r="B241" s="91">
        <f>IF(C241&lt;$K$16,"",IF(ISNA(HLOOKUP(DATE(YEAR($C$20),MONTH($C241),DAY($C241)),$C$20:$N$20,1,0)),"",MAX(B$28:B240)+1))</f>
        <v>59</v>
      </c>
      <c r="C241" s="106">
        <f t="shared" si="40"/>
        <v>48487</v>
      </c>
      <c r="D241" s="795">
        <f t="shared" si="35"/>
        <v>9260.6409217913024</v>
      </c>
      <c r="E241" s="795">
        <f>IF($A241="","",IF($A241=1,D$29*$F241*($C241-$C$28)/$K$17,
(D241*ROUND(($C241-VLOOKUP($A241-1,$A$28:$C241,3,0))/30,0)/12*$F241)
))</f>
        <v>138.90961382686953</v>
      </c>
      <c r="F241" s="107">
        <f t="shared" si="36"/>
        <v>0.06</v>
      </c>
      <c r="G241" s="795">
        <f t="shared" si="32"/>
        <v>1025.516997798039</v>
      </c>
      <c r="H241" s="795">
        <f t="shared" si="37"/>
        <v>717.64705882352939</v>
      </c>
      <c r="I241" s="795">
        <f t="shared" si="38"/>
        <v>1025.516997798039</v>
      </c>
      <c r="J241" s="795">
        <f t="shared" si="39"/>
        <v>1164.4266116249087</v>
      </c>
      <c r="K241" s="108">
        <f t="shared" si="33"/>
        <v>2032</v>
      </c>
      <c r="L241" s="646" t="str">
        <f t="shared" si="34"/>
        <v/>
      </c>
    </row>
    <row r="242" spans="1:12" ht="12.75" customHeight="1">
      <c r="A242" s="645" t="str">
        <f>IF(B242&lt;&gt;"",MAX(A$28:A241)+1,IF(ISNA(HLOOKUP(DATE(YEAR($C$21),MONTH(C242),DAY(C242)),$C$21:$N$21,1,0)),"",MAX(A$28:A241)+1))</f>
        <v/>
      </c>
      <c r="B242" s="91" t="str">
        <f>IF(C242&lt;$K$16,"",IF(ISNA(HLOOKUP(DATE(YEAR($C$20),MONTH($C242),DAY($C242)),$C$20:$N$20,1,0)),"",MAX(B$28:B241)+1))</f>
        <v/>
      </c>
      <c r="C242" s="106">
        <f t="shared" si="40"/>
        <v>48518</v>
      </c>
      <c r="D242" s="795">
        <f t="shared" si="35"/>
        <v>8235.1239239932638</v>
      </c>
      <c r="E242" s="795" t="str">
        <f>IF($A242="","",IF($A242=1,D$29*$F242*($C242-$C$28)/$K$17,
(D242*ROUND(($C242-VLOOKUP($A242-1,$A$28:$C242,3,0))/30,0)/12*$F242)
))</f>
        <v/>
      </c>
      <c r="F242" s="107">
        <f t="shared" si="36"/>
        <v>0.06</v>
      </c>
      <c r="G242" s="795">
        <f t="shared" si="32"/>
        <v>0</v>
      </c>
      <c r="H242" s="795">
        <f t="shared" si="37"/>
        <v>0</v>
      </c>
      <c r="I242" s="795">
        <f t="shared" si="38"/>
        <v>0</v>
      </c>
      <c r="J242" s="795">
        <f t="shared" si="39"/>
        <v>0</v>
      </c>
      <c r="K242" s="108">
        <f t="shared" si="33"/>
        <v>2032</v>
      </c>
      <c r="L242" s="646" t="str">
        <f t="shared" si="34"/>
        <v/>
      </c>
    </row>
    <row r="243" spans="1:12" ht="12.75" customHeight="1">
      <c r="A243" s="645" t="str">
        <f>IF(B243&lt;&gt;"",MAX(A$28:A242)+1,IF(ISNA(HLOOKUP(DATE(YEAR($C$21),MONTH(C243),DAY(C243)),$C$21:$N$21,1,0)),"",MAX(A$28:A242)+1))</f>
        <v/>
      </c>
      <c r="B243" s="91" t="str">
        <f>IF(C243&lt;$K$16,"",IF(ISNA(HLOOKUP(DATE(YEAR($C$20),MONTH($C243),DAY($C243)),$C$20:$N$20,1,0)),"",MAX(B$28:B242)+1))</f>
        <v/>
      </c>
      <c r="C243" s="106">
        <f t="shared" si="40"/>
        <v>48548</v>
      </c>
      <c r="D243" s="795">
        <f t="shared" si="35"/>
        <v>8235.1239239932638</v>
      </c>
      <c r="E243" s="795" t="str">
        <f>IF($A243="","",IF($A243=1,D$29*$F243*($C243-$C$28)/$K$17,
(D243*ROUND(($C243-VLOOKUP($A243-1,$A$28:$C243,3,0))/30,0)/12*$F243)
))</f>
        <v/>
      </c>
      <c r="F243" s="107">
        <f t="shared" si="36"/>
        <v>0.06</v>
      </c>
      <c r="G243" s="795">
        <f t="shared" si="32"/>
        <v>0</v>
      </c>
      <c r="H243" s="795">
        <f t="shared" si="37"/>
        <v>0</v>
      </c>
      <c r="I243" s="795">
        <f t="shared" si="38"/>
        <v>0</v>
      </c>
      <c r="J243" s="795">
        <f t="shared" si="39"/>
        <v>0</v>
      </c>
      <c r="K243" s="108">
        <f t="shared" si="33"/>
        <v>2032</v>
      </c>
      <c r="L243" s="646" t="str">
        <f t="shared" si="34"/>
        <v/>
      </c>
    </row>
    <row r="244" spans="1:12" ht="12.75" customHeight="1">
      <c r="A244" s="645">
        <f>IF(B244&lt;&gt;"",MAX(A$28:A243)+1,IF(ISNA(HLOOKUP(DATE(YEAR($C$21),MONTH(C244),DAY(C244)),$C$21:$N$21,1,0)),"",MAX(A$28:A243)+1))</f>
        <v>72</v>
      </c>
      <c r="B244" s="91">
        <f>IF(C244&lt;$K$16,"",IF(ISNA(HLOOKUP(DATE(YEAR($C$20),MONTH($C244),DAY($C244)),$C$20:$N$20,1,0)),"",MAX(B$28:B243)+1))</f>
        <v>60</v>
      </c>
      <c r="C244" s="106">
        <f t="shared" si="40"/>
        <v>48579</v>
      </c>
      <c r="D244" s="795">
        <f t="shared" si="35"/>
        <v>8235.1239239932638</v>
      </c>
      <c r="E244" s="795">
        <f>IF($A244="","",IF($A244=1,D$29*$F244*($C244-$C$28)/$K$17,
(D244*ROUND(($C244-VLOOKUP($A244-1,$A$28:$C244,3,0))/30,0)/12*$F244)
))</f>
        <v>123.52685885989895</v>
      </c>
      <c r="F244" s="107">
        <f t="shared" si="36"/>
        <v>0.06</v>
      </c>
      <c r="G244" s="795">
        <f t="shared" si="32"/>
        <v>1040.8997527650097</v>
      </c>
      <c r="H244" s="795">
        <f t="shared" si="37"/>
        <v>717.64705882352939</v>
      </c>
      <c r="I244" s="795">
        <f t="shared" si="38"/>
        <v>1040.8997527650097</v>
      </c>
      <c r="J244" s="795">
        <f t="shared" si="39"/>
        <v>1164.4266116249087</v>
      </c>
      <c r="K244" s="108">
        <f t="shared" si="33"/>
        <v>2032</v>
      </c>
      <c r="L244" s="646" t="str">
        <f t="shared" si="34"/>
        <v/>
      </c>
    </row>
    <row r="245" spans="1:12" ht="12.75" customHeight="1">
      <c r="A245" s="645" t="str">
        <f>IF(B245&lt;&gt;"",MAX(A$28:A244)+1,IF(ISNA(HLOOKUP(DATE(YEAR($C$21),MONTH(C245),DAY(C245)),$C$21:$N$21,1,0)),"",MAX(A$28:A244)+1))</f>
        <v/>
      </c>
      <c r="B245" s="91" t="str">
        <f>IF(C245&lt;$K$16,"",IF(ISNA(HLOOKUP(DATE(YEAR($C$20),MONTH($C245),DAY($C245)),$C$20:$N$20,1,0)),"",MAX(B$28:B244)+1))</f>
        <v/>
      </c>
      <c r="C245" s="106">
        <f t="shared" si="40"/>
        <v>48610</v>
      </c>
      <c r="D245" s="795">
        <f t="shared" si="35"/>
        <v>7194.2241712282539</v>
      </c>
      <c r="E245" s="795" t="str">
        <f>IF($A245="","",IF($A245=1,D$29*$F245*($C245-$C$28)/$K$17,
(D245*ROUND(($C245-VLOOKUP($A245-1,$A$28:$C245,3,0))/30,0)/12*$F245)
))</f>
        <v/>
      </c>
      <c r="F245" s="107">
        <f t="shared" si="36"/>
        <v>0.06</v>
      </c>
      <c r="G245" s="795">
        <f t="shared" si="32"/>
        <v>0</v>
      </c>
      <c r="H245" s="795">
        <f t="shared" si="37"/>
        <v>0</v>
      </c>
      <c r="I245" s="795">
        <f t="shared" si="38"/>
        <v>0</v>
      </c>
      <c r="J245" s="795">
        <f t="shared" si="39"/>
        <v>0</v>
      </c>
      <c r="K245" s="108">
        <f t="shared" si="33"/>
        <v>2033</v>
      </c>
      <c r="L245" s="646" t="str">
        <f t="shared" si="34"/>
        <v/>
      </c>
    </row>
    <row r="246" spans="1:12" ht="12.75" customHeight="1">
      <c r="A246" s="645" t="str">
        <f>IF(B246&lt;&gt;"",MAX(A$28:A245)+1,IF(ISNA(HLOOKUP(DATE(YEAR($C$21),MONTH(C246),DAY(C246)),$C$21:$N$21,1,0)),"",MAX(A$28:A245)+1))</f>
        <v/>
      </c>
      <c r="B246" s="91" t="str">
        <f>IF(C246&lt;$K$16,"",IF(ISNA(HLOOKUP(DATE(YEAR($C$20),MONTH($C246),DAY($C246)),$C$20:$N$20,1,0)),"",MAX(B$28:B245)+1))</f>
        <v/>
      </c>
      <c r="C246" s="106">
        <f t="shared" si="40"/>
        <v>48638</v>
      </c>
      <c r="D246" s="795">
        <f t="shared" si="35"/>
        <v>7194.2241712282539</v>
      </c>
      <c r="E246" s="795" t="str">
        <f>IF($A246="","",IF($A246=1,D$29*$F246*($C246-$C$28)/$K$17,
(D246*ROUND(($C246-VLOOKUP($A246-1,$A$28:$C246,3,0))/30,0)/12*$F246)
))</f>
        <v/>
      </c>
      <c r="F246" s="107">
        <f t="shared" si="36"/>
        <v>0.06</v>
      </c>
      <c r="G246" s="795">
        <f t="shared" si="32"/>
        <v>0</v>
      </c>
      <c r="H246" s="795">
        <f t="shared" si="37"/>
        <v>0</v>
      </c>
      <c r="I246" s="795">
        <f t="shared" si="38"/>
        <v>0</v>
      </c>
      <c r="J246" s="795">
        <f t="shared" si="39"/>
        <v>0</v>
      </c>
      <c r="K246" s="108">
        <f t="shared" si="33"/>
        <v>2033</v>
      </c>
      <c r="L246" s="646" t="str">
        <f t="shared" si="34"/>
        <v/>
      </c>
    </row>
    <row r="247" spans="1:12" ht="12.75" customHeight="1">
      <c r="A247" s="645">
        <f>IF(B247&lt;&gt;"",MAX(A$28:A246)+1,IF(ISNA(HLOOKUP(DATE(YEAR($C$21),MONTH(C247),DAY(C247)),$C$21:$N$21,1,0)),"",MAX(A$28:A246)+1))</f>
        <v>73</v>
      </c>
      <c r="B247" s="91">
        <f>IF(C247&lt;$K$16,"",IF(ISNA(HLOOKUP(DATE(YEAR($C$20),MONTH($C247),DAY($C247)),$C$20:$N$20,1,0)),"",MAX(B$28:B246)+1))</f>
        <v>61</v>
      </c>
      <c r="C247" s="106">
        <f t="shared" si="40"/>
        <v>48669</v>
      </c>
      <c r="D247" s="795">
        <f t="shared" si="35"/>
        <v>7194.2241712282539</v>
      </c>
      <c r="E247" s="795">
        <f>IF($A247="","",IF($A247=1,D$29*$F247*($C247-$C$28)/$K$17,
(D247*ROUND(($C247-VLOOKUP($A247-1,$A$28:$C247,3,0))/30,0)/12*$F247)
))</f>
        <v>107.91336256842379</v>
      </c>
      <c r="F247" s="107">
        <f t="shared" si="36"/>
        <v>0.06</v>
      </c>
      <c r="G247" s="795">
        <f t="shared" si="32"/>
        <v>1056.5132490564849</v>
      </c>
      <c r="H247" s="795">
        <f t="shared" si="37"/>
        <v>717.64705882352939</v>
      </c>
      <c r="I247" s="795">
        <f t="shared" si="38"/>
        <v>1056.5132490564849</v>
      </c>
      <c r="J247" s="795">
        <f t="shared" si="39"/>
        <v>1164.4266116249087</v>
      </c>
      <c r="K247" s="108">
        <f t="shared" si="33"/>
        <v>2033</v>
      </c>
      <c r="L247" s="646" t="str">
        <f t="shared" si="34"/>
        <v/>
      </c>
    </row>
    <row r="248" spans="1:12" ht="12.75" customHeight="1">
      <c r="A248" s="645" t="str">
        <f>IF(B248&lt;&gt;"",MAX(A$28:A247)+1,IF(ISNA(HLOOKUP(DATE(YEAR($C$21),MONTH(C248),DAY(C248)),$C$21:$N$21,1,0)),"",MAX(A$28:A247)+1))</f>
        <v/>
      </c>
      <c r="B248" s="91" t="str">
        <f>IF(C248&lt;$K$16,"",IF(ISNA(HLOOKUP(DATE(YEAR($C$20),MONTH($C248),DAY($C248)),$C$20:$N$20,1,0)),"",MAX(B$28:B247)+1))</f>
        <v/>
      </c>
      <c r="C248" s="106">
        <f t="shared" si="40"/>
        <v>48699</v>
      </c>
      <c r="D248" s="795">
        <f t="shared" si="35"/>
        <v>6137.7109221717692</v>
      </c>
      <c r="E248" s="795" t="str">
        <f>IF($A248="","",IF($A248=1,D$29*$F248*($C248-$C$28)/$K$17,
(D248*ROUND(($C248-VLOOKUP($A248-1,$A$28:$C248,3,0))/30,0)/12*$F248)
))</f>
        <v/>
      </c>
      <c r="F248" s="107">
        <f t="shared" si="36"/>
        <v>0.06</v>
      </c>
      <c r="G248" s="795">
        <f t="shared" si="32"/>
        <v>0</v>
      </c>
      <c r="H248" s="795">
        <f t="shared" si="37"/>
        <v>0</v>
      </c>
      <c r="I248" s="795">
        <f t="shared" si="38"/>
        <v>0</v>
      </c>
      <c r="J248" s="795">
        <f t="shared" si="39"/>
        <v>0</v>
      </c>
      <c r="K248" s="108">
        <f t="shared" si="33"/>
        <v>2033</v>
      </c>
      <c r="L248" s="646" t="str">
        <f t="shared" si="34"/>
        <v/>
      </c>
    </row>
    <row r="249" spans="1:12" ht="12.75" customHeight="1">
      <c r="A249" s="645" t="str">
        <f>IF(B249&lt;&gt;"",MAX(A$28:A248)+1,IF(ISNA(HLOOKUP(DATE(YEAR($C$21),MONTH(C249),DAY(C249)),$C$21:$N$21,1,0)),"",MAX(A$28:A248)+1))</f>
        <v/>
      </c>
      <c r="B249" s="91" t="str">
        <f>IF(C249&lt;$K$16,"",IF(ISNA(HLOOKUP(DATE(YEAR($C$20),MONTH($C249),DAY($C249)),$C$20:$N$20,1,0)),"",MAX(B$28:B248)+1))</f>
        <v/>
      </c>
      <c r="C249" s="106">
        <f t="shared" si="40"/>
        <v>48730</v>
      </c>
      <c r="D249" s="795">
        <f t="shared" si="35"/>
        <v>6137.7109221717692</v>
      </c>
      <c r="E249" s="795" t="str">
        <f>IF($A249="","",IF($A249=1,D$29*$F249*($C249-$C$28)/$K$17,
(D249*ROUND(($C249-VLOOKUP($A249-1,$A$28:$C249,3,0))/30,0)/12*$F249)
))</f>
        <v/>
      </c>
      <c r="F249" s="107">
        <f t="shared" si="36"/>
        <v>0.06</v>
      </c>
      <c r="G249" s="795">
        <f t="shared" si="32"/>
        <v>0</v>
      </c>
      <c r="H249" s="795">
        <f t="shared" si="37"/>
        <v>0</v>
      </c>
      <c r="I249" s="795">
        <f t="shared" si="38"/>
        <v>0</v>
      </c>
      <c r="J249" s="795">
        <f t="shared" si="39"/>
        <v>0</v>
      </c>
      <c r="K249" s="108">
        <f t="shared" si="33"/>
        <v>2033</v>
      </c>
      <c r="L249" s="646" t="str">
        <f t="shared" si="34"/>
        <v/>
      </c>
    </row>
    <row r="250" spans="1:12" ht="12.75" customHeight="1">
      <c r="A250" s="645">
        <f>IF(B250&lt;&gt;"",MAX(A$28:A249)+1,IF(ISNA(HLOOKUP(DATE(YEAR($C$21),MONTH(C250),DAY(C250)),$C$21:$N$21,1,0)),"",MAX(A$28:A249)+1))</f>
        <v>74</v>
      </c>
      <c r="B250" s="91">
        <f>IF(C250&lt;$K$16,"",IF(ISNA(HLOOKUP(DATE(YEAR($C$20),MONTH($C250),DAY($C250)),$C$20:$N$20,1,0)),"",MAX(B$28:B249)+1))</f>
        <v>62</v>
      </c>
      <c r="C250" s="106">
        <f t="shared" si="40"/>
        <v>48760</v>
      </c>
      <c r="D250" s="795">
        <f t="shared" si="35"/>
        <v>6137.7109221717692</v>
      </c>
      <c r="E250" s="795">
        <f>IF($A250="","",IF($A250=1,D$29*$F250*($C250-$C$28)/$K$17,
(D250*ROUND(($C250-VLOOKUP($A250-1,$A$28:$C250,3,0))/30,0)/12*$F250)
))</f>
        <v>92.065663832576533</v>
      </c>
      <c r="F250" s="107">
        <f t="shared" si="36"/>
        <v>0.06</v>
      </c>
      <c r="G250" s="795">
        <f t="shared" si="32"/>
        <v>1072.3609477923321</v>
      </c>
      <c r="H250" s="795">
        <f t="shared" si="37"/>
        <v>717.64705882352939</v>
      </c>
      <c r="I250" s="795">
        <f t="shared" si="38"/>
        <v>1072.3609477923321</v>
      </c>
      <c r="J250" s="795">
        <f t="shared" si="39"/>
        <v>1164.4266116249087</v>
      </c>
      <c r="K250" s="108">
        <f t="shared" si="33"/>
        <v>2033</v>
      </c>
      <c r="L250" s="646" t="str">
        <f t="shared" si="34"/>
        <v/>
      </c>
    </row>
    <row r="251" spans="1:12" ht="12.75" customHeight="1">
      <c r="A251" s="645" t="str">
        <f>IF(B251&lt;&gt;"",MAX(A$28:A250)+1,IF(ISNA(HLOOKUP(DATE(YEAR($C$21),MONTH(C251),DAY(C251)),$C$21:$N$21,1,0)),"",MAX(A$28:A250)+1))</f>
        <v/>
      </c>
      <c r="B251" s="91" t="str">
        <f>IF(C251&lt;$K$16,"",IF(ISNA(HLOOKUP(DATE(YEAR($C$20),MONTH($C251),DAY($C251)),$C$20:$N$20,1,0)),"",MAX(B$28:B250)+1))</f>
        <v/>
      </c>
      <c r="C251" s="106">
        <f t="shared" si="40"/>
        <v>48791</v>
      </c>
      <c r="D251" s="795">
        <f t="shared" si="35"/>
        <v>5065.3499743794373</v>
      </c>
      <c r="E251" s="795" t="str">
        <f>IF($A251="","",IF($A251=1,D$29*$F251*($C251-$C$28)/$K$17,
(D251*ROUND(($C251-VLOOKUP($A251-1,$A$28:$C251,3,0))/30,0)/12*$F251)
))</f>
        <v/>
      </c>
      <c r="F251" s="107">
        <f t="shared" si="36"/>
        <v>0.06</v>
      </c>
      <c r="G251" s="795">
        <f t="shared" si="32"/>
        <v>0</v>
      </c>
      <c r="H251" s="795">
        <f t="shared" si="37"/>
        <v>0</v>
      </c>
      <c r="I251" s="795">
        <f t="shared" si="38"/>
        <v>0</v>
      </c>
      <c r="J251" s="795">
        <f t="shared" si="39"/>
        <v>0</v>
      </c>
      <c r="K251" s="108">
        <f t="shared" si="33"/>
        <v>2033</v>
      </c>
      <c r="L251" s="646" t="str">
        <f t="shared" si="34"/>
        <v/>
      </c>
    </row>
    <row r="252" spans="1:12" ht="12.75" customHeight="1">
      <c r="A252" s="645" t="str">
        <f>IF(B252&lt;&gt;"",MAX(A$28:A251)+1,IF(ISNA(HLOOKUP(DATE(YEAR($C$21),MONTH(C252),DAY(C252)),$C$21:$N$21,1,0)),"",MAX(A$28:A251)+1))</f>
        <v/>
      </c>
      <c r="B252" s="91" t="str">
        <f>IF(C252&lt;$K$16,"",IF(ISNA(HLOOKUP(DATE(YEAR($C$20),MONTH($C252),DAY($C252)),$C$20:$N$20,1,0)),"",MAX(B$28:B251)+1))</f>
        <v/>
      </c>
      <c r="C252" s="106">
        <f t="shared" si="40"/>
        <v>48822</v>
      </c>
      <c r="D252" s="795">
        <f t="shared" si="35"/>
        <v>5065.3499743794373</v>
      </c>
      <c r="E252" s="795" t="str">
        <f>IF($A252="","",IF($A252=1,D$29*$F252*($C252-$C$28)/$K$17,
(D252*ROUND(($C252-VLOOKUP($A252-1,$A$28:$C252,3,0))/30,0)/12*$F252)
))</f>
        <v/>
      </c>
      <c r="F252" s="107">
        <f t="shared" si="36"/>
        <v>0.06</v>
      </c>
      <c r="G252" s="795">
        <f t="shared" si="32"/>
        <v>0</v>
      </c>
      <c r="H252" s="795">
        <f t="shared" si="37"/>
        <v>0</v>
      </c>
      <c r="I252" s="795">
        <f t="shared" si="38"/>
        <v>0</v>
      </c>
      <c r="J252" s="795">
        <f t="shared" si="39"/>
        <v>0</v>
      </c>
      <c r="K252" s="108">
        <f t="shared" si="33"/>
        <v>2033</v>
      </c>
      <c r="L252" s="646" t="str">
        <f t="shared" si="34"/>
        <v/>
      </c>
    </row>
    <row r="253" spans="1:12" ht="12.75" customHeight="1">
      <c r="A253" s="645">
        <f>IF(B253&lt;&gt;"",MAX(A$28:A252)+1,IF(ISNA(HLOOKUP(DATE(YEAR($C$21),MONTH(C253),DAY(C253)),$C$21:$N$21,1,0)),"",MAX(A$28:A252)+1))</f>
        <v>75</v>
      </c>
      <c r="B253" s="91">
        <f>IF(C253&lt;$K$16,"",IF(ISNA(HLOOKUP(DATE(YEAR($C$20),MONTH($C253),DAY($C253)),$C$20:$N$20,1,0)),"",MAX(B$28:B252)+1))</f>
        <v>63</v>
      </c>
      <c r="C253" s="106">
        <f t="shared" si="40"/>
        <v>48852</v>
      </c>
      <c r="D253" s="795">
        <f t="shared" si="35"/>
        <v>5065.3499743794373</v>
      </c>
      <c r="E253" s="795">
        <f>IF($A253="","",IF($A253=1,D$29*$F253*($C253-$C$28)/$K$17,
(D253*ROUND(($C253-VLOOKUP($A253-1,$A$28:$C253,3,0))/30,0)/12*$F253)
))</f>
        <v>75.980249615691562</v>
      </c>
      <c r="F253" s="107">
        <f t="shared" si="36"/>
        <v>0.06</v>
      </c>
      <c r="G253" s="795">
        <f t="shared" si="32"/>
        <v>1088.4463620092172</v>
      </c>
      <c r="H253" s="795">
        <f t="shared" si="37"/>
        <v>717.64705882352939</v>
      </c>
      <c r="I253" s="795">
        <f t="shared" si="38"/>
        <v>1088.4463620092172</v>
      </c>
      <c r="J253" s="795">
        <f t="shared" si="39"/>
        <v>1164.4266116249087</v>
      </c>
      <c r="K253" s="108">
        <f t="shared" si="33"/>
        <v>2033</v>
      </c>
      <c r="L253" s="646" t="str">
        <f t="shared" si="34"/>
        <v/>
      </c>
    </row>
    <row r="254" spans="1:12" ht="12.75" customHeight="1">
      <c r="A254" s="645" t="str">
        <f>IF(B254&lt;&gt;"",MAX(A$28:A253)+1,IF(ISNA(HLOOKUP(DATE(YEAR($C$21),MONTH(C254),DAY(C254)),$C$21:$N$21,1,0)),"",MAX(A$28:A253)+1))</f>
        <v/>
      </c>
      <c r="B254" s="91" t="str">
        <f>IF(C254&lt;$K$16,"",IF(ISNA(HLOOKUP(DATE(YEAR($C$20),MONTH($C254),DAY($C254)),$C$20:$N$20,1,0)),"",MAX(B$28:B253)+1))</f>
        <v/>
      </c>
      <c r="C254" s="106">
        <f t="shared" si="40"/>
        <v>48883</v>
      </c>
      <c r="D254" s="795">
        <f t="shared" si="35"/>
        <v>3976.9036123702199</v>
      </c>
      <c r="E254" s="795" t="str">
        <f>IF($A254="","",IF($A254=1,D$29*$F254*($C254-$C$28)/$K$17,
(D254*ROUND(($C254-VLOOKUP($A254-1,$A$28:$C254,3,0))/30,0)/12*$F254)
))</f>
        <v/>
      </c>
      <c r="F254" s="107">
        <f t="shared" si="36"/>
        <v>0.06</v>
      </c>
      <c r="G254" s="795">
        <f t="shared" si="32"/>
        <v>0</v>
      </c>
      <c r="H254" s="795">
        <f t="shared" si="37"/>
        <v>0</v>
      </c>
      <c r="I254" s="795">
        <f t="shared" si="38"/>
        <v>0</v>
      </c>
      <c r="J254" s="795">
        <f t="shared" si="39"/>
        <v>0</v>
      </c>
      <c r="K254" s="108">
        <f t="shared" si="33"/>
        <v>2033</v>
      </c>
      <c r="L254" s="646" t="str">
        <f t="shared" si="34"/>
        <v/>
      </c>
    </row>
    <row r="255" spans="1:12" ht="12.75" customHeight="1">
      <c r="A255" s="645" t="str">
        <f>IF(B255&lt;&gt;"",MAX(A$28:A254)+1,IF(ISNA(HLOOKUP(DATE(YEAR($C$21),MONTH(C255),DAY(C255)),$C$21:$N$21,1,0)),"",MAX(A$28:A254)+1))</f>
        <v/>
      </c>
      <c r="B255" s="91" t="str">
        <f>IF(C255&lt;$K$16,"",IF(ISNA(HLOOKUP(DATE(YEAR($C$20),MONTH($C255),DAY($C255)),$C$20:$N$20,1,0)),"",MAX(B$28:B254)+1))</f>
        <v/>
      </c>
      <c r="C255" s="106">
        <f t="shared" si="40"/>
        <v>48913</v>
      </c>
      <c r="D255" s="795">
        <f t="shared" si="35"/>
        <v>3976.9036123702199</v>
      </c>
      <c r="E255" s="795" t="str">
        <f>IF($A255="","",IF($A255=1,D$29*$F255*($C255-$C$28)/$K$17,
(D255*ROUND(($C255-VLOOKUP($A255-1,$A$28:$C255,3,0))/30,0)/12*$F255)
))</f>
        <v/>
      </c>
      <c r="F255" s="107">
        <f t="shared" si="36"/>
        <v>0.06</v>
      </c>
      <c r="G255" s="795">
        <f t="shared" si="32"/>
        <v>0</v>
      </c>
      <c r="H255" s="795">
        <f t="shared" si="37"/>
        <v>0</v>
      </c>
      <c r="I255" s="795">
        <f t="shared" si="38"/>
        <v>0</v>
      </c>
      <c r="J255" s="795">
        <f t="shared" si="39"/>
        <v>0</v>
      </c>
      <c r="K255" s="108">
        <f t="shared" si="33"/>
        <v>2033</v>
      </c>
      <c r="L255" s="646" t="str">
        <f t="shared" si="34"/>
        <v/>
      </c>
    </row>
    <row r="256" spans="1:12" ht="12.75" customHeight="1">
      <c r="A256" s="645">
        <f>IF(B256&lt;&gt;"",MAX(A$28:A255)+1,IF(ISNA(HLOOKUP(DATE(YEAR($C$21),MONTH(C256),DAY(C256)),$C$21:$N$21,1,0)),"",MAX(A$28:A255)+1))</f>
        <v>76</v>
      </c>
      <c r="B256" s="91">
        <f>IF(C256&lt;$K$16,"",IF(ISNA(HLOOKUP(DATE(YEAR($C$20),MONTH($C256),DAY($C256)),$C$20:$N$20,1,0)),"",MAX(B$28:B255)+1))</f>
        <v>64</v>
      </c>
      <c r="C256" s="106">
        <f t="shared" si="40"/>
        <v>48944</v>
      </c>
      <c r="D256" s="795">
        <f t="shared" si="35"/>
        <v>3976.9036123702199</v>
      </c>
      <c r="E256" s="795">
        <f>IF($A256="","",IF($A256=1,D$29*$F256*($C256-$C$28)/$K$17,
(D256*ROUND(($C256-VLOOKUP($A256-1,$A$28:$C256,3,0))/30,0)/12*$F256)
))</f>
        <v>59.65355418555329</v>
      </c>
      <c r="F256" s="107">
        <f t="shared" si="36"/>
        <v>0.06</v>
      </c>
      <c r="G256" s="795">
        <f t="shared" si="32"/>
        <v>1104.7730574393554</v>
      </c>
      <c r="H256" s="795">
        <f t="shared" si="37"/>
        <v>717.64705882352939</v>
      </c>
      <c r="I256" s="795">
        <f t="shared" si="38"/>
        <v>1104.7730574393554</v>
      </c>
      <c r="J256" s="795">
        <f t="shared" si="39"/>
        <v>1164.4266116249087</v>
      </c>
      <c r="K256" s="108">
        <f t="shared" si="33"/>
        <v>2033</v>
      </c>
      <c r="L256" s="646" t="str">
        <f t="shared" si="34"/>
        <v/>
      </c>
    </row>
    <row r="257" spans="1:12" ht="12.75" customHeight="1">
      <c r="A257" s="645" t="str">
        <f>IF(B257&lt;&gt;"",MAX(A$28:A256)+1,IF(ISNA(HLOOKUP(DATE(YEAR($C$21),MONTH(C257),DAY(C257)),$C$21:$N$21,1,0)),"",MAX(A$28:A256)+1))</f>
        <v/>
      </c>
      <c r="B257" s="91" t="str">
        <f>IF(C257&lt;$K$16,"",IF(ISNA(HLOOKUP(DATE(YEAR($C$20),MONTH($C257),DAY($C257)),$C$20:$N$20,1,0)),"",MAX(B$28:B256)+1))</f>
        <v/>
      </c>
      <c r="C257" s="106">
        <f t="shared" si="40"/>
        <v>48975</v>
      </c>
      <c r="D257" s="795">
        <f t="shared" si="35"/>
        <v>2872.1305549308645</v>
      </c>
      <c r="E257" s="795" t="str">
        <f>IF($A257="","",IF($A257=1,D$29*$F257*($C257-$C$28)/$K$17,
(D257*ROUND(($C257-VLOOKUP($A257-1,$A$28:$C257,3,0))/30,0)/12*$F257)
))</f>
        <v/>
      </c>
      <c r="F257" s="107">
        <f t="shared" si="36"/>
        <v>0.06</v>
      </c>
      <c r="G257" s="795">
        <f t="shared" si="32"/>
        <v>0</v>
      </c>
      <c r="H257" s="795">
        <f t="shared" si="37"/>
        <v>0</v>
      </c>
      <c r="I257" s="795">
        <f t="shared" si="38"/>
        <v>0</v>
      </c>
      <c r="J257" s="795">
        <f t="shared" si="39"/>
        <v>0</v>
      </c>
      <c r="K257" s="108">
        <f t="shared" si="33"/>
        <v>2034</v>
      </c>
      <c r="L257" s="646" t="str">
        <f t="shared" si="34"/>
        <v/>
      </c>
    </row>
    <row r="258" spans="1:12" ht="12.75" customHeight="1">
      <c r="A258" s="645" t="str">
        <f>IF(B258&lt;&gt;"",MAX(A$28:A257)+1,IF(ISNA(HLOOKUP(DATE(YEAR($C$21),MONTH(C258),DAY(C258)),$C$21:$N$21,1,0)),"",MAX(A$28:A257)+1))</f>
        <v/>
      </c>
      <c r="B258" s="91" t="str">
        <f>IF(C258&lt;$K$16,"",IF(ISNA(HLOOKUP(DATE(YEAR($C$20),MONTH($C258),DAY($C258)),$C$20:$N$20,1,0)),"",MAX(B$28:B257)+1))</f>
        <v/>
      </c>
      <c r="C258" s="106">
        <f t="shared" si="40"/>
        <v>49003</v>
      </c>
      <c r="D258" s="795">
        <f t="shared" si="35"/>
        <v>2872.1305549308645</v>
      </c>
      <c r="E258" s="795" t="str">
        <f>IF($A258="","",IF($A258=1,D$29*$F258*($C258-$C$28)/$K$17,
(D258*ROUND(($C258-VLOOKUP($A258-1,$A$28:$C258,3,0))/30,0)/12*$F258)
))</f>
        <v/>
      </c>
      <c r="F258" s="107">
        <f t="shared" si="36"/>
        <v>0.06</v>
      </c>
      <c r="G258" s="795">
        <f t="shared" si="32"/>
        <v>0</v>
      </c>
      <c r="H258" s="795">
        <f t="shared" si="37"/>
        <v>0</v>
      </c>
      <c r="I258" s="795">
        <f t="shared" si="38"/>
        <v>0</v>
      </c>
      <c r="J258" s="795">
        <f t="shared" si="39"/>
        <v>0</v>
      </c>
      <c r="K258" s="108">
        <f t="shared" si="33"/>
        <v>2034</v>
      </c>
      <c r="L258" s="646" t="str">
        <f t="shared" si="34"/>
        <v/>
      </c>
    </row>
    <row r="259" spans="1:12" ht="12.75" customHeight="1">
      <c r="A259" s="645">
        <f>IF(B259&lt;&gt;"",MAX(A$28:A258)+1,IF(ISNA(HLOOKUP(DATE(YEAR($C$21),MONTH(C259),DAY(C259)),$C$21:$N$21,1,0)),"",MAX(A$28:A258)+1))</f>
        <v>77</v>
      </c>
      <c r="B259" s="91">
        <f>IF(C259&lt;$K$16,"",IF(ISNA(HLOOKUP(DATE(YEAR($C$20),MONTH($C259),DAY($C259)),$C$20:$N$20,1,0)),"",MAX(B$28:B258)+1))</f>
        <v>65</v>
      </c>
      <c r="C259" s="106">
        <f t="shared" si="40"/>
        <v>49034</v>
      </c>
      <c r="D259" s="795">
        <f t="shared" si="35"/>
        <v>2872.1305549308645</v>
      </c>
      <c r="E259" s="795">
        <f>IF($A259="","",IF($A259=1,D$29*$F259*($C259-$C$28)/$K$17,
(D259*ROUND(($C259-VLOOKUP($A259-1,$A$28:$C259,3,0))/30,0)/12*$F259)
))</f>
        <v>43.081958323962972</v>
      </c>
      <c r="F259" s="107">
        <f t="shared" si="36"/>
        <v>0.06</v>
      </c>
      <c r="G259" s="795">
        <f t="shared" si="32"/>
        <v>1010.7974989541452</v>
      </c>
      <c r="H259" s="795">
        <f t="shared" si="37"/>
        <v>717.64705882352939</v>
      </c>
      <c r="I259" s="795">
        <f t="shared" si="38"/>
        <v>1010.7974989541452</v>
      </c>
      <c r="J259" s="795">
        <f t="shared" si="39"/>
        <v>1053.8794572781082</v>
      </c>
      <c r="K259" s="108">
        <f t="shared" si="33"/>
        <v>2034</v>
      </c>
      <c r="L259" s="646" t="str">
        <f t="shared" si="34"/>
        <v/>
      </c>
    </row>
    <row r="260" spans="1:12" ht="12.75" customHeight="1">
      <c r="A260" s="645" t="str">
        <f>IF(B260&lt;&gt;"",MAX(A$28:A259)+1,IF(ISNA(HLOOKUP(DATE(YEAR($C$21),MONTH(C260),DAY(C260)),$C$21:$N$21,1,0)),"",MAX(A$28:A259)+1))</f>
        <v/>
      </c>
      <c r="B260" s="91" t="str">
        <f>IF(C260&lt;$K$16,"",IF(ISNA(HLOOKUP(DATE(YEAR($C$20),MONTH($C260),DAY($C260)),$C$20:$N$20,1,0)),"",MAX(B$28:B259)+1))</f>
        <v/>
      </c>
      <c r="C260" s="106">
        <f t="shared" si="40"/>
        <v>49064</v>
      </c>
      <c r="D260" s="795">
        <f t="shared" si="35"/>
        <v>1861.3330559767192</v>
      </c>
      <c r="E260" s="795" t="str">
        <f>IF($A260="","",IF($A260=1,D$29*$F260*($C260-$C$28)/$K$17,
(D260*ROUND(($C260-VLOOKUP($A260-1,$A$28:$C260,3,0))/30,0)/12*$F260)
))</f>
        <v/>
      </c>
      <c r="F260" s="107">
        <f t="shared" si="36"/>
        <v>0.06</v>
      </c>
      <c r="G260" s="795">
        <f t="shared" si="32"/>
        <v>0</v>
      </c>
      <c r="H260" s="795">
        <f t="shared" si="37"/>
        <v>0</v>
      </c>
      <c r="I260" s="795">
        <f t="shared" si="38"/>
        <v>0</v>
      </c>
      <c r="J260" s="795">
        <f t="shared" si="39"/>
        <v>0</v>
      </c>
      <c r="K260" s="108">
        <f t="shared" si="33"/>
        <v>2034</v>
      </c>
      <c r="L260" s="646" t="str">
        <f t="shared" si="34"/>
        <v/>
      </c>
    </row>
    <row r="261" spans="1:12" ht="12.75" customHeight="1">
      <c r="A261" s="645" t="str">
        <f>IF(B261&lt;&gt;"",MAX(A$28:A260)+1,IF(ISNA(HLOOKUP(DATE(YEAR($C$21),MONTH(C261),DAY(C261)),$C$21:$N$21,1,0)),"",MAX(A$28:A260)+1))</f>
        <v/>
      </c>
      <c r="B261" s="91" t="str">
        <f>IF(C261&lt;$K$16,"",IF(ISNA(HLOOKUP(DATE(YEAR($C$20),MONTH($C261),DAY($C261)),$C$20:$N$20,1,0)),"",MAX(B$28:B260)+1))</f>
        <v/>
      </c>
      <c r="C261" s="106">
        <f t="shared" si="40"/>
        <v>49095</v>
      </c>
      <c r="D261" s="795">
        <f t="shared" si="35"/>
        <v>1861.3330559767192</v>
      </c>
      <c r="E261" s="795" t="str">
        <f>IF($A261="","",IF($A261=1,D$29*$F261*($C261-$C$28)/$K$17,
(D261*ROUND(($C261-VLOOKUP($A261-1,$A$28:$C261,3,0))/30,0)/12*$F261)
))</f>
        <v/>
      </c>
      <c r="F261" s="107">
        <f t="shared" si="36"/>
        <v>0.06</v>
      </c>
      <c r="G261" s="795">
        <f t="shared" si="32"/>
        <v>0</v>
      </c>
      <c r="H261" s="795">
        <f t="shared" si="37"/>
        <v>0</v>
      </c>
      <c r="I261" s="795">
        <f t="shared" si="38"/>
        <v>0</v>
      </c>
      <c r="J261" s="795">
        <f t="shared" si="39"/>
        <v>0</v>
      </c>
      <c r="K261" s="108">
        <f t="shared" si="33"/>
        <v>2034</v>
      </c>
      <c r="L261" s="646" t="str">
        <f t="shared" si="34"/>
        <v/>
      </c>
    </row>
    <row r="262" spans="1:12" ht="12.75" customHeight="1">
      <c r="A262" s="645">
        <f>IF(B262&lt;&gt;"",MAX(A$28:A261)+1,IF(ISNA(HLOOKUP(DATE(YEAR($C$21),MONTH(C262),DAY(C262)),$C$21:$N$21,1,0)),"",MAX(A$28:A261)+1))</f>
        <v>78</v>
      </c>
      <c r="B262" s="91">
        <f>IF(C262&lt;$K$16,"",IF(ISNA(HLOOKUP(DATE(YEAR($C$20),MONTH($C262),DAY($C262)),$C$20:$N$20,1,0)),"",MAX(B$28:B261)+1))</f>
        <v>66</v>
      </c>
      <c r="C262" s="106">
        <f t="shared" si="40"/>
        <v>49125</v>
      </c>
      <c r="D262" s="795">
        <f t="shared" si="35"/>
        <v>1861.3330559767192</v>
      </c>
      <c r="E262" s="795">
        <f>IF($A262="","",IF($A262=1,D$29*$F262*($C262-$C$28)/$K$17,
(D262*ROUND(($C262-VLOOKUP($A262-1,$A$28:$C262,3,0))/30,0)/12*$F262)
))</f>
        <v>27.919995839650785</v>
      </c>
      <c r="F262" s="107">
        <f t="shared" si="36"/>
        <v>0.06</v>
      </c>
      <c r="G262" s="795">
        <f t="shared" si="32"/>
        <v>1025.9594614384575</v>
      </c>
      <c r="H262" s="795">
        <f t="shared" si="37"/>
        <v>717.64705882352939</v>
      </c>
      <c r="I262" s="795">
        <f t="shared" si="38"/>
        <v>1025.9594614384575</v>
      </c>
      <c r="J262" s="795">
        <f t="shared" si="39"/>
        <v>1053.8794572781082</v>
      </c>
      <c r="K262" s="108">
        <f t="shared" si="33"/>
        <v>2034</v>
      </c>
      <c r="L262" s="646" t="str">
        <f t="shared" si="34"/>
        <v/>
      </c>
    </row>
    <row r="263" spans="1:12" ht="12.75" customHeight="1">
      <c r="A263" s="645" t="str">
        <f>IF(B263&lt;&gt;"",MAX(A$28:A262)+1,IF(ISNA(HLOOKUP(DATE(YEAR($C$21),MONTH(C263),DAY(C263)),$C$21:$N$21,1,0)),"",MAX(A$28:A262)+1))</f>
        <v/>
      </c>
      <c r="B263" s="91" t="str">
        <f>IF(C263&lt;$K$16,"",IF(ISNA(HLOOKUP(DATE(YEAR($C$20),MONTH($C263),DAY($C263)),$C$20:$N$20,1,0)),"",MAX(B$28:B262)+1))</f>
        <v/>
      </c>
      <c r="C263" s="106">
        <f t="shared" si="40"/>
        <v>49156</v>
      </c>
      <c r="D263" s="795">
        <f t="shared" si="35"/>
        <v>835.37359453826161</v>
      </c>
      <c r="E263" s="795" t="str">
        <f>IF($A263="","",IF($A263=1,D$29*$F263*($C263-$C$28)/$K$17,
(D263*ROUND(($C263-VLOOKUP($A263-1,$A$28:$C263,3,0))/30,0)/12*$F263)
))</f>
        <v/>
      </c>
      <c r="F263" s="107">
        <f t="shared" si="36"/>
        <v>0.06</v>
      </c>
      <c r="G263" s="795">
        <f t="shared" si="32"/>
        <v>0</v>
      </c>
      <c r="H263" s="795">
        <f t="shared" si="37"/>
        <v>0</v>
      </c>
      <c r="I263" s="795">
        <f t="shared" si="38"/>
        <v>0</v>
      </c>
      <c r="J263" s="795">
        <f t="shared" si="39"/>
        <v>0</v>
      </c>
      <c r="K263" s="108">
        <f t="shared" si="33"/>
        <v>2034</v>
      </c>
      <c r="L263" s="646" t="str">
        <f t="shared" si="34"/>
        <v/>
      </c>
    </row>
    <row r="264" spans="1:12" ht="12.75" customHeight="1">
      <c r="A264" s="645" t="str">
        <f>IF(B264&lt;&gt;"",MAX(A$28:A263)+1,IF(ISNA(HLOOKUP(DATE(YEAR($C$21),MONTH(C264),DAY(C264)),$C$21:$N$21,1,0)),"",MAX(A$28:A263)+1))</f>
        <v/>
      </c>
      <c r="B264" s="91" t="str">
        <f>IF(C264&lt;$K$16,"",IF(ISNA(HLOOKUP(DATE(YEAR($C$20),MONTH($C264),DAY($C264)),$C$20:$N$20,1,0)),"",MAX(B$28:B263)+1))</f>
        <v/>
      </c>
      <c r="C264" s="106">
        <f t="shared" si="40"/>
        <v>49187</v>
      </c>
      <c r="D264" s="795">
        <f t="shared" si="35"/>
        <v>835.37359453826161</v>
      </c>
      <c r="E264" s="795" t="str">
        <f>IF($A264="","",IF($A264=1,D$29*$F264*($C264-$C$28)/$K$17,
(D264*ROUND(($C264-VLOOKUP($A264-1,$A$28:$C264,3,0))/30,0)/12*$F264)
))</f>
        <v/>
      </c>
      <c r="F264" s="107">
        <f t="shared" si="36"/>
        <v>0.06</v>
      </c>
      <c r="G264" s="795">
        <f t="shared" si="32"/>
        <v>0</v>
      </c>
      <c r="H264" s="795">
        <f t="shared" si="37"/>
        <v>0</v>
      </c>
      <c r="I264" s="795">
        <f t="shared" si="38"/>
        <v>0</v>
      </c>
      <c r="J264" s="795">
        <f t="shared" si="39"/>
        <v>0</v>
      </c>
      <c r="K264" s="108">
        <f t="shared" si="33"/>
        <v>2034</v>
      </c>
      <c r="L264" s="646" t="str">
        <f t="shared" si="34"/>
        <v/>
      </c>
    </row>
    <row r="265" spans="1:12" ht="12.75" customHeight="1">
      <c r="A265" s="645">
        <f>IF(B265&lt;&gt;"",MAX(A$28:A264)+1,IF(ISNA(HLOOKUP(DATE(YEAR($C$21),MONTH(C265),DAY(C265)),$C$21:$N$21,1,0)),"",MAX(A$28:A264)+1))</f>
        <v>79</v>
      </c>
      <c r="B265" s="91">
        <f>IF(C265&lt;$K$16,"",IF(ISNA(HLOOKUP(DATE(YEAR($C$20),MONTH($C265),DAY($C265)),$C$20:$N$20,1,0)),"",MAX(B$28:B264)+1))</f>
        <v>67</v>
      </c>
      <c r="C265" s="106">
        <f t="shared" si="40"/>
        <v>49217</v>
      </c>
      <c r="D265" s="795">
        <f t="shared" si="35"/>
        <v>835.37359453826161</v>
      </c>
      <c r="E265" s="795">
        <f>IF($A265="","",IF($A265=1,D$29*$F265*($C265-$C$28)/$K$17,
(D265*ROUND(($C265-VLOOKUP($A265-1,$A$28:$C265,3,0))/30,0)/12*$F265)
))</f>
        <v>12.530603918073925</v>
      </c>
      <c r="F265" s="107">
        <f t="shared" si="36"/>
        <v>0.06</v>
      </c>
      <c r="G265" s="795">
        <f t="shared" si="32"/>
        <v>835.37359453826161</v>
      </c>
      <c r="H265" s="795">
        <f t="shared" si="37"/>
        <v>717.64705882352939</v>
      </c>
      <c r="I265" s="795">
        <f t="shared" si="38"/>
        <v>835.37359453826161</v>
      </c>
      <c r="J265" s="795">
        <f t="shared" si="39"/>
        <v>847.90419845633551</v>
      </c>
      <c r="K265" s="108">
        <f t="shared" si="33"/>
        <v>2034</v>
      </c>
      <c r="L265" s="646">
        <f t="shared" si="34"/>
        <v>49217</v>
      </c>
    </row>
    <row r="266" spans="1:12" ht="12.75" customHeight="1">
      <c r="A266" s="645" t="str">
        <f>IF(B266&lt;&gt;"",MAX(A$28:A265)+1,IF(ISNA(HLOOKUP(DATE(YEAR($C$21),MONTH(C266),DAY(C266)),$C$21:$N$21,1,0)),"",MAX(A$28:A265)+1))</f>
        <v/>
      </c>
      <c r="B266" s="91" t="str">
        <f>IF(C266&lt;$K$16,"",IF(ISNA(HLOOKUP(DATE(YEAR($C$20),MONTH($C266),DAY($C266)),$C$20:$N$20,1,0)),"",MAX(B$28:B265)+1))</f>
        <v/>
      </c>
      <c r="C266" s="106">
        <f t="shared" si="40"/>
        <v>49248</v>
      </c>
      <c r="D266" s="795">
        <f t="shared" si="35"/>
        <v>0</v>
      </c>
      <c r="E266" s="795" t="str">
        <f>IF($A266="","",IF($A266=1,D$29*$F266*($C266-$C$28)/$K$17,
(D266*ROUND(($C266-VLOOKUP($A266-1,$A$28:$C266,3,0))/30,0)/12*$F266)
))</f>
        <v/>
      </c>
      <c r="F266" s="107">
        <f t="shared" si="36"/>
        <v>0.06</v>
      </c>
      <c r="G266" s="795">
        <f t="shared" si="32"/>
        <v>0</v>
      </c>
      <c r="H266" s="795">
        <f t="shared" si="37"/>
        <v>0</v>
      </c>
      <c r="I266" s="795">
        <f t="shared" si="38"/>
        <v>0</v>
      </c>
      <c r="J266" s="795">
        <f t="shared" si="39"/>
        <v>0</v>
      </c>
      <c r="K266" s="108">
        <f t="shared" si="33"/>
        <v>2034</v>
      </c>
      <c r="L266" s="646" t="str">
        <f t="shared" si="34"/>
        <v/>
      </c>
    </row>
    <row r="267" spans="1:12" ht="12.75" customHeight="1">
      <c r="A267" s="645" t="str">
        <f>IF(B267&lt;&gt;"",MAX(A$28:A266)+1,IF(ISNA(HLOOKUP(DATE(YEAR($C$21),MONTH(C267),DAY(C267)),$C$21:$N$21,1,0)),"",MAX(A$28:A266)+1))</f>
        <v/>
      </c>
      <c r="B267" s="91" t="str">
        <f>IF(C267&lt;$K$16,"",IF(ISNA(HLOOKUP(DATE(YEAR($C$20),MONTH($C267),DAY($C267)),$C$20:$N$20,1,0)),"",MAX(B$28:B266)+1))</f>
        <v/>
      </c>
      <c r="C267" s="106">
        <f t="shared" si="40"/>
        <v>49278</v>
      </c>
      <c r="D267" s="795">
        <f t="shared" si="35"/>
        <v>0</v>
      </c>
      <c r="E267" s="795" t="str">
        <f>IF($A267="","",IF($A267=1,D$29*$F267*($C267-$C$28)/$K$17,
(D267*ROUND(($C267-VLOOKUP($A267-1,$A$28:$C267,3,0))/30,0)/12*$F267)
))</f>
        <v/>
      </c>
      <c r="F267" s="107">
        <f t="shared" si="36"/>
        <v>0.06</v>
      </c>
      <c r="G267" s="795">
        <f t="shared" si="32"/>
        <v>0</v>
      </c>
      <c r="H267" s="795">
        <f t="shared" si="37"/>
        <v>0</v>
      </c>
      <c r="I267" s="795">
        <f t="shared" si="38"/>
        <v>0</v>
      </c>
      <c r="J267" s="795">
        <f t="shared" si="39"/>
        <v>0</v>
      </c>
      <c r="K267" s="108">
        <f t="shared" si="33"/>
        <v>2034</v>
      </c>
      <c r="L267" s="646" t="str">
        <f t="shared" si="34"/>
        <v/>
      </c>
    </row>
    <row r="268" spans="1:12" ht="12.75" customHeight="1">
      <c r="A268" s="645">
        <f>IF(B268&lt;&gt;"",MAX(A$28:A267)+1,IF(ISNA(HLOOKUP(DATE(YEAR($C$21),MONTH(C268),DAY(C268)),$C$21:$N$21,1,0)),"",MAX(A$28:A267)+1))</f>
        <v>80</v>
      </c>
      <c r="B268" s="91">
        <f>IF(C268&lt;$K$16,"",IF(ISNA(HLOOKUP(DATE(YEAR($C$20),MONTH($C268),DAY($C268)),$C$20:$N$20,1,0)),"",MAX(B$28:B267)+1))</f>
        <v>68</v>
      </c>
      <c r="C268" s="106">
        <f t="shared" si="40"/>
        <v>49309</v>
      </c>
      <c r="D268" s="795">
        <f t="shared" si="35"/>
        <v>0</v>
      </c>
      <c r="E268" s="795">
        <f>IF($A268="","",IF($A268=1,D$29*$F268*($C268-$C$28)/$K$17,
(D268*ROUND(($C268-VLOOKUP($A268-1,$A$28:$C268,3,0))/30,0)/12*$F268)
))</f>
        <v>0</v>
      </c>
      <c r="F268" s="107">
        <f t="shared" si="36"/>
        <v>0.06</v>
      </c>
      <c r="G268" s="795">
        <f t="shared" si="32"/>
        <v>0</v>
      </c>
      <c r="H268" s="795">
        <f t="shared" si="37"/>
        <v>0</v>
      </c>
      <c r="I268" s="795">
        <f t="shared" si="38"/>
        <v>0</v>
      </c>
      <c r="J268" s="795">
        <f t="shared" si="39"/>
        <v>0</v>
      </c>
      <c r="K268" s="108">
        <f t="shared" si="33"/>
        <v>2034</v>
      </c>
      <c r="L268" s="646" t="str">
        <f t="shared" si="34"/>
        <v/>
      </c>
    </row>
    <row r="269" spans="1:12" ht="12.75" customHeight="1">
      <c r="A269" s="645" t="str">
        <f>IF(B269&lt;&gt;"",MAX(A$28:A268)+1,IF(ISNA(HLOOKUP(DATE(YEAR($C$21),MONTH(C269),DAY(C269)),$C$21:$N$21,1,0)),"",MAX(A$28:A268)+1))</f>
        <v/>
      </c>
      <c r="B269" s="91" t="str">
        <f>IF(C269&lt;$K$16,"",IF(ISNA(HLOOKUP(DATE(YEAR($C$20),MONTH($C269),DAY($C269)),$C$20:$N$20,1,0)),"",MAX(B$28:B268)+1))</f>
        <v/>
      </c>
      <c r="C269" s="106">
        <f t="shared" si="40"/>
        <v>49340</v>
      </c>
      <c r="D269" s="795">
        <f t="shared" si="35"/>
        <v>0</v>
      </c>
      <c r="E269" s="795" t="str">
        <f>IF($A269="","",IF($A269=1,D$29*$F269*($C269-$C$28)/$K$17,
(D269*ROUND(($C269-VLOOKUP($A269-1,$A$28:$C269,3,0))/30,0)/12*$F269)
))</f>
        <v/>
      </c>
      <c r="F269" s="107">
        <f t="shared" si="36"/>
        <v>0.06</v>
      </c>
      <c r="G269" s="795">
        <f t="shared" si="32"/>
        <v>0</v>
      </c>
      <c r="H269" s="795">
        <f t="shared" si="37"/>
        <v>0</v>
      </c>
      <c r="I269" s="795">
        <f t="shared" si="38"/>
        <v>0</v>
      </c>
      <c r="J269" s="795">
        <f t="shared" si="39"/>
        <v>0</v>
      </c>
      <c r="K269" s="108">
        <f t="shared" si="33"/>
        <v>2035</v>
      </c>
      <c r="L269" s="646" t="str">
        <f t="shared" si="34"/>
        <v/>
      </c>
    </row>
    <row r="270" spans="1:12" ht="12.75" customHeight="1">
      <c r="A270" s="645" t="str">
        <f>IF(B270&lt;&gt;"",MAX(A$28:A269)+1,IF(ISNA(HLOOKUP(DATE(YEAR($C$21),MONTH(C270),DAY(C270)),$C$21:$N$21,1,0)),"",MAX(A$28:A269)+1))</f>
        <v/>
      </c>
      <c r="B270" s="91" t="str">
        <f>IF(C270&lt;$K$16,"",IF(ISNA(HLOOKUP(DATE(YEAR($C$20),MONTH($C270),DAY($C270)),$C$20:$N$20,1,0)),"",MAX(B$28:B269)+1))</f>
        <v/>
      </c>
      <c r="C270" s="106">
        <f t="shared" si="40"/>
        <v>49368</v>
      </c>
      <c r="D270" s="795">
        <f t="shared" si="35"/>
        <v>0</v>
      </c>
      <c r="E270" s="795" t="str">
        <f>IF($A270="","",IF($A270=1,D$29*$F270*($C270-$C$28)/$K$17,
(D270*ROUND(($C270-VLOOKUP($A270-1,$A$28:$C270,3,0))/30,0)/12*$F270)
))</f>
        <v/>
      </c>
      <c r="F270" s="107">
        <f t="shared" si="36"/>
        <v>0.06</v>
      </c>
      <c r="G270" s="795">
        <f t="shared" si="32"/>
        <v>0</v>
      </c>
      <c r="H270" s="795">
        <f t="shared" si="37"/>
        <v>0</v>
      </c>
      <c r="I270" s="795">
        <f t="shared" si="38"/>
        <v>0</v>
      </c>
      <c r="J270" s="795">
        <f t="shared" si="39"/>
        <v>0</v>
      </c>
      <c r="K270" s="108">
        <f t="shared" si="33"/>
        <v>2035</v>
      </c>
      <c r="L270" s="646" t="str">
        <f t="shared" si="34"/>
        <v/>
      </c>
    </row>
    <row r="271" spans="1:12" ht="12.75" customHeight="1">
      <c r="A271" s="645">
        <f>IF(B271&lt;&gt;"",MAX(A$28:A270)+1,IF(ISNA(HLOOKUP(DATE(YEAR($C$21),MONTH(C271),DAY(C271)),$C$21:$N$21,1,0)),"",MAX(A$28:A270)+1))</f>
        <v>81</v>
      </c>
      <c r="B271" s="91">
        <f>IF(C271&lt;$K$16,"",IF(ISNA(HLOOKUP(DATE(YEAR($C$20),MONTH($C271),DAY($C271)),$C$20:$N$20,1,0)),"",MAX(B$28:B270)+1))</f>
        <v>69</v>
      </c>
      <c r="C271" s="106">
        <f t="shared" si="40"/>
        <v>49399</v>
      </c>
      <c r="D271" s="795">
        <f t="shared" si="35"/>
        <v>0</v>
      </c>
      <c r="E271" s="795">
        <f>IF($A271="","",IF($A271=1,D$29*$F271*($C271-$C$28)/$K$17,
(D271*ROUND(($C271-VLOOKUP($A271-1,$A$28:$C271,3,0))/30,0)/12*$F271)
))</f>
        <v>0</v>
      </c>
      <c r="F271" s="107">
        <f t="shared" si="36"/>
        <v>0.06</v>
      </c>
      <c r="G271" s="795">
        <f t="shared" si="32"/>
        <v>0</v>
      </c>
      <c r="H271" s="795">
        <f t="shared" si="37"/>
        <v>0</v>
      </c>
      <c r="I271" s="795">
        <f t="shared" si="38"/>
        <v>0</v>
      </c>
      <c r="J271" s="795">
        <f t="shared" si="39"/>
        <v>0</v>
      </c>
      <c r="K271" s="108">
        <f t="shared" si="33"/>
        <v>2035</v>
      </c>
      <c r="L271" s="646" t="str">
        <f t="shared" si="34"/>
        <v/>
      </c>
    </row>
    <row r="272" spans="1:12" ht="12.75" customHeight="1">
      <c r="A272" s="645" t="str">
        <f>IF(B272&lt;&gt;"",MAX(A$28:A271)+1,IF(ISNA(HLOOKUP(DATE(YEAR($C$21),MONTH(C272),DAY(C272)),$C$21:$N$21,1,0)),"",MAX(A$28:A271)+1))</f>
        <v/>
      </c>
      <c r="B272" s="91" t="str">
        <f>IF(C272&lt;$K$16,"",IF(ISNA(HLOOKUP(DATE(YEAR($C$20),MONTH($C272),DAY($C272)),$C$20:$N$20,1,0)),"",MAX(B$28:B271)+1))</f>
        <v/>
      </c>
      <c r="C272" s="106">
        <f t="shared" si="40"/>
        <v>49429</v>
      </c>
      <c r="D272" s="795">
        <f t="shared" si="35"/>
        <v>0</v>
      </c>
      <c r="E272" s="795" t="str">
        <f>IF($A272="","",IF($A272=1,D$29*$F272*($C272-$C$28)/$K$17,
(D272*ROUND(($C272-VLOOKUP($A272-1,$A$28:$C272,3,0))/30,0)/12*$F272)
))</f>
        <v/>
      </c>
      <c r="F272" s="107">
        <f t="shared" si="36"/>
        <v>0.06</v>
      </c>
      <c r="G272" s="795">
        <f t="shared" si="32"/>
        <v>0</v>
      </c>
      <c r="H272" s="795">
        <f t="shared" si="37"/>
        <v>0</v>
      </c>
      <c r="I272" s="795">
        <f t="shared" si="38"/>
        <v>0</v>
      </c>
      <c r="J272" s="795">
        <f t="shared" si="39"/>
        <v>0</v>
      </c>
      <c r="K272" s="108">
        <f t="shared" si="33"/>
        <v>2035</v>
      </c>
      <c r="L272" s="646" t="str">
        <f t="shared" si="34"/>
        <v/>
      </c>
    </row>
    <row r="273" spans="1:12" ht="12.75" customHeight="1">
      <c r="A273" s="645" t="str">
        <f>IF(B273&lt;&gt;"",MAX(A$28:A272)+1,IF(ISNA(HLOOKUP(DATE(YEAR($C$21),MONTH(C273),DAY(C273)),$C$21:$N$21,1,0)),"",MAX(A$28:A272)+1))</f>
        <v/>
      </c>
      <c r="B273" s="91" t="str">
        <f>IF(C273&lt;$K$16,"",IF(ISNA(HLOOKUP(DATE(YEAR($C$20),MONTH($C273),DAY($C273)),$C$20:$N$20,1,0)),"",MAX(B$28:B272)+1))</f>
        <v/>
      </c>
      <c r="C273" s="106">
        <f t="shared" si="40"/>
        <v>49460</v>
      </c>
      <c r="D273" s="795">
        <f t="shared" si="35"/>
        <v>0</v>
      </c>
      <c r="E273" s="795" t="str">
        <f>IF($A273="","",IF($A273=1,D$29*$F273*($C273-$C$28)/$K$17,
(D273*ROUND(($C273-VLOOKUP($A273-1,$A$28:$C273,3,0))/30,0)/12*$F273)
))</f>
        <v/>
      </c>
      <c r="F273" s="107">
        <f t="shared" si="36"/>
        <v>0.06</v>
      </c>
      <c r="G273" s="795">
        <f t="shared" si="32"/>
        <v>0</v>
      </c>
      <c r="H273" s="795">
        <f t="shared" si="37"/>
        <v>0</v>
      </c>
      <c r="I273" s="795">
        <f t="shared" si="38"/>
        <v>0</v>
      </c>
      <c r="J273" s="795">
        <f t="shared" si="39"/>
        <v>0</v>
      </c>
      <c r="K273" s="108">
        <f t="shared" si="33"/>
        <v>2035</v>
      </c>
      <c r="L273" s="646" t="str">
        <f t="shared" si="34"/>
        <v/>
      </c>
    </row>
    <row r="274" spans="1:12" ht="12.75" customHeight="1">
      <c r="A274" s="645">
        <f>IF(B274&lt;&gt;"",MAX(A$28:A273)+1,IF(ISNA(HLOOKUP(DATE(YEAR($C$21),MONTH(C274),DAY(C274)),$C$21:$N$21,1,0)),"",MAX(A$28:A273)+1))</f>
        <v>82</v>
      </c>
      <c r="B274" s="91">
        <f>IF(C274&lt;$K$16,"",IF(ISNA(HLOOKUP(DATE(YEAR($C$20),MONTH($C274),DAY($C274)),$C$20:$N$20,1,0)),"",MAX(B$28:B273)+1))</f>
        <v>70</v>
      </c>
      <c r="C274" s="106">
        <f t="shared" si="40"/>
        <v>49490</v>
      </c>
      <c r="D274" s="795">
        <f t="shared" si="35"/>
        <v>0</v>
      </c>
      <c r="E274" s="795">
        <f>IF($A274="","",IF($A274=1,D$29*$F274*($C274-$C$28)/$K$17,
(D274*ROUND(($C274-VLOOKUP($A274-1,$A$28:$C274,3,0))/30,0)/12*$F274)
))</f>
        <v>0</v>
      </c>
      <c r="F274" s="107">
        <f t="shared" si="36"/>
        <v>0.06</v>
      </c>
      <c r="G274" s="795">
        <f t="shared" si="32"/>
        <v>0</v>
      </c>
      <c r="H274" s="795">
        <f t="shared" si="37"/>
        <v>0</v>
      </c>
      <c r="I274" s="795">
        <f t="shared" si="38"/>
        <v>0</v>
      </c>
      <c r="J274" s="795">
        <f t="shared" si="39"/>
        <v>0</v>
      </c>
      <c r="K274" s="108">
        <f t="shared" si="33"/>
        <v>2035</v>
      </c>
      <c r="L274" s="646" t="str">
        <f t="shared" si="34"/>
        <v/>
      </c>
    </row>
    <row r="275" spans="1:12" ht="12.75" customHeight="1">
      <c r="A275" s="645" t="str">
        <f>IF(B275&lt;&gt;"",MAX(A$28:A274)+1,IF(ISNA(HLOOKUP(DATE(YEAR($C$21),MONTH(C275),DAY(C275)),$C$21:$N$21,1,0)),"",MAX(A$28:A274)+1))</f>
        <v/>
      </c>
      <c r="B275" s="91" t="str">
        <f>IF(C275&lt;$K$16,"",IF(ISNA(HLOOKUP(DATE(YEAR($C$20),MONTH($C275),DAY($C275)),$C$20:$N$20,1,0)),"",MAX(B$28:B274)+1))</f>
        <v/>
      </c>
      <c r="C275" s="106">
        <f t="shared" si="40"/>
        <v>49521</v>
      </c>
      <c r="D275" s="795">
        <f t="shared" si="35"/>
        <v>0</v>
      </c>
      <c r="E275" s="795" t="str">
        <f>IF($A275="","",IF($A275=1,D$29*$F275*($C275-$C$28)/$K$17,
(D275*ROUND(($C275-VLOOKUP($A275-1,$A$28:$C275,3,0))/30,0)/12*$F275)
))</f>
        <v/>
      </c>
      <c r="F275" s="107">
        <f t="shared" si="36"/>
        <v>0.06</v>
      </c>
      <c r="G275" s="795">
        <f t="shared" si="32"/>
        <v>0</v>
      </c>
      <c r="H275" s="795">
        <f t="shared" si="37"/>
        <v>0</v>
      </c>
      <c r="I275" s="795">
        <f t="shared" si="38"/>
        <v>0</v>
      </c>
      <c r="J275" s="795">
        <f t="shared" si="39"/>
        <v>0</v>
      </c>
      <c r="K275" s="108">
        <f t="shared" si="33"/>
        <v>2035</v>
      </c>
      <c r="L275" s="646" t="str">
        <f t="shared" si="34"/>
        <v/>
      </c>
    </row>
    <row r="276" spans="1:12" ht="12.75" customHeight="1">
      <c r="A276" s="645" t="str">
        <f>IF(B276&lt;&gt;"",MAX(A$28:A275)+1,IF(ISNA(HLOOKUP(DATE(YEAR($C$21),MONTH(C276),DAY(C276)),$C$21:$N$21,1,0)),"",MAX(A$28:A275)+1))</f>
        <v/>
      </c>
      <c r="B276" s="91" t="str">
        <f>IF(C276&lt;$K$16,"",IF(ISNA(HLOOKUP(DATE(YEAR($C$20),MONTH($C276),DAY($C276)),$C$20:$N$20,1,0)),"",MAX(B$28:B275)+1))</f>
        <v/>
      </c>
      <c r="C276" s="106">
        <f t="shared" si="40"/>
        <v>49552</v>
      </c>
      <c r="D276" s="795">
        <f t="shared" si="35"/>
        <v>0</v>
      </c>
      <c r="E276" s="795" t="str">
        <f>IF($A276="","",IF($A276=1,D$29*$F276*($C276-$C$28)/$K$17,
(D276*ROUND(($C276-VLOOKUP($A276-1,$A$28:$C276,3,0))/30,0)/12*$F276)
))</f>
        <v/>
      </c>
      <c r="F276" s="107">
        <f t="shared" si="36"/>
        <v>0.06</v>
      </c>
      <c r="G276" s="795">
        <f t="shared" si="32"/>
        <v>0</v>
      </c>
      <c r="H276" s="795">
        <f t="shared" si="37"/>
        <v>0</v>
      </c>
      <c r="I276" s="795">
        <f t="shared" si="38"/>
        <v>0</v>
      </c>
      <c r="J276" s="795">
        <f t="shared" si="39"/>
        <v>0</v>
      </c>
      <c r="K276" s="108">
        <f t="shared" si="33"/>
        <v>2035</v>
      </c>
      <c r="L276" s="646" t="str">
        <f t="shared" si="34"/>
        <v/>
      </c>
    </row>
    <row r="277" spans="1:12" ht="12.75" customHeight="1">
      <c r="A277" s="645">
        <f>IF(B277&lt;&gt;"",MAX(A$28:A276)+1,IF(ISNA(HLOOKUP(DATE(YEAR($C$21),MONTH(C277),DAY(C277)),$C$21:$N$21,1,0)),"",MAX(A$28:A276)+1))</f>
        <v>83</v>
      </c>
      <c r="B277" s="91">
        <f>IF(C277&lt;$K$16,"",IF(ISNA(HLOOKUP(DATE(YEAR($C$20),MONTH($C277),DAY($C277)),$C$20:$N$20,1,0)),"",MAX(B$28:B276)+1))</f>
        <v>71</v>
      </c>
      <c r="C277" s="106">
        <f t="shared" si="40"/>
        <v>49582</v>
      </c>
      <c r="D277" s="795">
        <f t="shared" si="35"/>
        <v>0</v>
      </c>
      <c r="E277" s="795">
        <f>IF($A277="","",IF($A277=1,D$29*$F277*($C277-$C$28)/$K$17,
(D277*ROUND(($C277-VLOOKUP($A277-1,$A$28:$C277,3,0))/30,0)/12*$F277)
))</f>
        <v>0</v>
      </c>
      <c r="F277" s="107">
        <f t="shared" si="36"/>
        <v>0.06</v>
      </c>
      <c r="G277" s="795">
        <f t="shared" si="32"/>
        <v>0</v>
      </c>
      <c r="H277" s="795">
        <f t="shared" si="37"/>
        <v>0</v>
      </c>
      <c r="I277" s="795">
        <f t="shared" si="38"/>
        <v>0</v>
      </c>
      <c r="J277" s="795">
        <f t="shared" si="39"/>
        <v>0</v>
      </c>
      <c r="K277" s="108">
        <f t="shared" si="33"/>
        <v>2035</v>
      </c>
      <c r="L277" s="646" t="str">
        <f t="shared" si="34"/>
        <v/>
      </c>
    </row>
    <row r="278" spans="1:12" ht="12.75" customHeight="1">
      <c r="A278" s="645" t="str">
        <f>IF(B278&lt;&gt;"",MAX(A$28:A277)+1,IF(ISNA(HLOOKUP(DATE(YEAR($C$21),MONTH(C278),DAY(C278)),$C$21:$N$21,1,0)),"",MAX(A$28:A277)+1))</f>
        <v/>
      </c>
      <c r="B278" s="91" t="str">
        <f>IF(C278&lt;$K$16,"",IF(ISNA(HLOOKUP(DATE(YEAR($C$20),MONTH($C278),DAY($C278)),$C$20:$N$20,1,0)),"",MAX(B$28:B277)+1))</f>
        <v/>
      </c>
      <c r="C278" s="106">
        <f t="shared" si="40"/>
        <v>49613</v>
      </c>
      <c r="D278" s="795">
        <f t="shared" si="35"/>
        <v>0</v>
      </c>
      <c r="E278" s="795" t="str">
        <f>IF($A278="","",IF($A278=1,D$29*$F278*($C278-$C$28)/$K$17,
(D278*ROUND(($C278-VLOOKUP($A278-1,$A$28:$C278,3,0))/30,0)/12*$F278)
))</f>
        <v/>
      </c>
      <c r="F278" s="107">
        <f t="shared" si="36"/>
        <v>0.06</v>
      </c>
      <c r="G278" s="795">
        <f t="shared" si="32"/>
        <v>0</v>
      </c>
      <c r="H278" s="795">
        <f t="shared" si="37"/>
        <v>0</v>
      </c>
      <c r="I278" s="795">
        <f t="shared" si="38"/>
        <v>0</v>
      </c>
      <c r="J278" s="795">
        <f t="shared" si="39"/>
        <v>0</v>
      </c>
      <c r="K278" s="108">
        <f t="shared" si="33"/>
        <v>2035</v>
      </c>
      <c r="L278" s="646" t="str">
        <f t="shared" si="34"/>
        <v/>
      </c>
    </row>
    <row r="279" spans="1:12" ht="12.75" customHeight="1">
      <c r="A279" s="645" t="str">
        <f>IF(B279&lt;&gt;"",MAX(A$28:A278)+1,IF(ISNA(HLOOKUP(DATE(YEAR($C$21),MONTH(C279),DAY(C279)),$C$21:$N$21,1,0)),"",MAX(A$28:A278)+1))</f>
        <v/>
      </c>
      <c r="B279" s="91" t="str">
        <f>IF(C279&lt;$K$16,"",IF(ISNA(HLOOKUP(DATE(YEAR($C$20),MONTH($C279),DAY($C279)),$C$20:$N$20,1,0)),"",MAX(B$28:B278)+1))</f>
        <v/>
      </c>
      <c r="C279" s="106">
        <f t="shared" si="40"/>
        <v>49643</v>
      </c>
      <c r="D279" s="795">
        <f t="shared" si="35"/>
        <v>0</v>
      </c>
      <c r="E279" s="795" t="str">
        <f>IF($A279="","",IF($A279=1,D$29*$F279*($C279-$C$28)/$K$17,
(D279*ROUND(($C279-VLOOKUP($A279-1,$A$28:$C279,3,0))/30,0)/12*$F279)
))</f>
        <v/>
      </c>
      <c r="F279" s="107">
        <f t="shared" si="36"/>
        <v>0.06</v>
      </c>
      <c r="G279" s="795">
        <f t="shared" si="32"/>
        <v>0</v>
      </c>
      <c r="H279" s="795">
        <f t="shared" si="37"/>
        <v>0</v>
      </c>
      <c r="I279" s="795">
        <f t="shared" si="38"/>
        <v>0</v>
      </c>
      <c r="J279" s="795">
        <f t="shared" si="39"/>
        <v>0</v>
      </c>
      <c r="K279" s="108">
        <f t="shared" si="33"/>
        <v>2035</v>
      </c>
      <c r="L279" s="646" t="str">
        <f t="shared" si="34"/>
        <v/>
      </c>
    </row>
    <row r="280" spans="1:12" ht="12.75" customHeight="1">
      <c r="A280" s="645">
        <f>IF(B280&lt;&gt;"",MAX(A$28:A279)+1,IF(ISNA(HLOOKUP(DATE(YEAR($C$21),MONTH(C280),DAY(C280)),$C$21:$N$21,1,0)),"",MAX(A$28:A279)+1))</f>
        <v>84</v>
      </c>
      <c r="B280" s="91">
        <f>IF(C280&lt;$K$16,"",IF(ISNA(HLOOKUP(DATE(YEAR($C$20),MONTH($C280),DAY($C280)),$C$20:$N$20,1,0)),"",MAX(B$28:B279)+1))</f>
        <v>72</v>
      </c>
      <c r="C280" s="106">
        <f t="shared" si="40"/>
        <v>49674</v>
      </c>
      <c r="D280" s="795">
        <f t="shared" si="35"/>
        <v>0</v>
      </c>
      <c r="E280" s="795">
        <f>IF($A280="","",IF($A280=1,D$29*$F280*($C280-$C$28)/$K$17,
(D280*ROUND(($C280-VLOOKUP($A280-1,$A$28:$C280,3,0))/30,0)/12*$F280)
))</f>
        <v>0</v>
      </c>
      <c r="F280" s="107">
        <f t="shared" si="36"/>
        <v>0.06</v>
      </c>
      <c r="G280" s="795">
        <f t="shared" si="32"/>
        <v>0</v>
      </c>
      <c r="H280" s="795">
        <f t="shared" si="37"/>
        <v>0</v>
      </c>
      <c r="I280" s="795">
        <f t="shared" si="38"/>
        <v>0</v>
      </c>
      <c r="J280" s="795">
        <f t="shared" si="39"/>
        <v>0</v>
      </c>
      <c r="K280" s="108">
        <f t="shared" si="33"/>
        <v>2035</v>
      </c>
      <c r="L280" s="646" t="str">
        <f t="shared" si="34"/>
        <v/>
      </c>
    </row>
    <row r="281" spans="1:12" ht="12.75" customHeight="1">
      <c r="A281" s="645" t="str">
        <f>IF(B281&lt;&gt;"",MAX(A$28:A280)+1,IF(ISNA(HLOOKUP(DATE(YEAR($C$21),MONTH(C281),DAY(C281)),$C$21:$N$21,1,0)),"",MAX(A$28:A280)+1))</f>
        <v/>
      </c>
      <c r="B281" s="91" t="str">
        <f>IF(C281&lt;$K$16,"",IF(ISNA(HLOOKUP(DATE(YEAR($C$20),MONTH($C281),DAY($C281)),$C$20:$N$20,1,0)),"",MAX(B$28:B280)+1))</f>
        <v/>
      </c>
      <c r="C281" s="106">
        <f t="shared" si="40"/>
        <v>49705</v>
      </c>
      <c r="D281" s="795">
        <f t="shared" si="35"/>
        <v>0</v>
      </c>
      <c r="E281" s="795" t="str">
        <f>IF($A281="","",IF($A281=1,D$29*$F281*($C281-$C$28)/$K$17,
(D281*ROUND(($C281-VLOOKUP($A281-1,$A$28:$C281,3,0))/30,0)/12*$F281)
))</f>
        <v/>
      </c>
      <c r="F281" s="107">
        <f t="shared" si="36"/>
        <v>0.06</v>
      </c>
      <c r="G281" s="795">
        <f t="shared" si="32"/>
        <v>0</v>
      </c>
      <c r="H281" s="795">
        <f t="shared" si="37"/>
        <v>0</v>
      </c>
      <c r="I281" s="795">
        <f t="shared" si="38"/>
        <v>0</v>
      </c>
      <c r="J281" s="795">
        <f t="shared" si="39"/>
        <v>0</v>
      </c>
      <c r="K281" s="108">
        <f t="shared" si="33"/>
        <v>2036</v>
      </c>
      <c r="L281" s="646" t="str">
        <f t="shared" si="34"/>
        <v/>
      </c>
    </row>
    <row r="282" spans="1:12" ht="12.75" customHeight="1">
      <c r="A282" s="645" t="str">
        <f>IF(B282&lt;&gt;"",MAX(A$28:A281)+1,IF(ISNA(HLOOKUP(DATE(YEAR($C$21),MONTH(C282),DAY(C282)),$C$21:$N$21,1,0)),"",MAX(A$28:A281)+1))</f>
        <v/>
      </c>
      <c r="B282" s="91" t="str">
        <f>IF(C282&lt;$K$16,"",IF(ISNA(HLOOKUP(DATE(YEAR($C$20),MONTH($C282),DAY($C282)),$C$20:$N$20,1,0)),"",MAX(B$28:B281)+1))</f>
        <v/>
      </c>
      <c r="C282" s="106">
        <f t="shared" si="40"/>
        <v>49734</v>
      </c>
      <c r="D282" s="795">
        <f t="shared" si="35"/>
        <v>0</v>
      </c>
      <c r="E282" s="795" t="str">
        <f>IF($A282="","",IF($A282=1,D$29*$F282*($C282-$C$28)/$K$17,
(D282*ROUND(($C282-VLOOKUP($A282-1,$A$28:$C282,3,0))/30,0)/12*$F282)
))</f>
        <v/>
      </c>
      <c r="F282" s="107">
        <f t="shared" si="36"/>
        <v>0.06</v>
      </c>
      <c r="G282" s="795">
        <f t="shared" si="32"/>
        <v>0</v>
      </c>
      <c r="H282" s="795">
        <f t="shared" si="37"/>
        <v>0</v>
      </c>
      <c r="I282" s="795">
        <f t="shared" si="38"/>
        <v>0</v>
      </c>
      <c r="J282" s="795">
        <f t="shared" si="39"/>
        <v>0</v>
      </c>
      <c r="K282" s="108">
        <f t="shared" si="33"/>
        <v>2036</v>
      </c>
      <c r="L282" s="646" t="str">
        <f t="shared" si="34"/>
        <v/>
      </c>
    </row>
    <row r="283" spans="1:12" ht="12.75" customHeight="1">
      <c r="A283" s="645">
        <f>IF(B283&lt;&gt;"",MAX(A$28:A282)+1,IF(ISNA(HLOOKUP(DATE(YEAR($C$21),MONTH(C283),DAY(C283)),$C$21:$N$21,1,0)),"",MAX(A$28:A282)+1))</f>
        <v>85</v>
      </c>
      <c r="B283" s="91">
        <f>IF(C283&lt;$K$16,"",IF(ISNA(HLOOKUP(DATE(YEAR($C$20),MONTH($C283),DAY($C283)),$C$20:$N$20,1,0)),"",MAX(B$28:B282)+1))</f>
        <v>73</v>
      </c>
      <c r="C283" s="106">
        <f t="shared" si="40"/>
        <v>49765</v>
      </c>
      <c r="D283" s="795">
        <f t="shared" si="35"/>
        <v>0</v>
      </c>
      <c r="E283" s="795">
        <f>IF($A283="","",IF($A283=1,D$29*$F283*($C283-$C$28)/$K$17,
(D283*ROUND(($C283-VLOOKUP($A283-1,$A$28:$C283,3,0))/30,0)/12*$F283)
))</f>
        <v>0</v>
      </c>
      <c r="F283" s="107">
        <f t="shared" si="36"/>
        <v>0.06</v>
      </c>
      <c r="G283" s="795">
        <f t="shared" si="32"/>
        <v>0</v>
      </c>
      <c r="H283" s="795">
        <f t="shared" si="37"/>
        <v>0</v>
      </c>
      <c r="I283" s="795">
        <f t="shared" si="38"/>
        <v>0</v>
      </c>
      <c r="J283" s="795">
        <f t="shared" si="39"/>
        <v>0</v>
      </c>
      <c r="K283" s="108">
        <f t="shared" si="33"/>
        <v>2036</v>
      </c>
      <c r="L283" s="646" t="str">
        <f t="shared" si="34"/>
        <v/>
      </c>
    </row>
    <row r="284" spans="1:12" ht="12.75" customHeight="1">
      <c r="A284" s="645" t="str">
        <f>IF(B284&lt;&gt;"",MAX(A$28:A283)+1,IF(ISNA(HLOOKUP(DATE(YEAR($C$21),MONTH(C284),DAY(C284)),$C$21:$N$21,1,0)),"",MAX(A$28:A283)+1))</f>
        <v/>
      </c>
      <c r="B284" s="91" t="str">
        <f>IF(C284&lt;$K$16,"",IF(ISNA(HLOOKUP(DATE(YEAR($C$20),MONTH($C284),DAY($C284)),$C$20:$N$20,1,0)),"",MAX(B$28:B283)+1))</f>
        <v/>
      </c>
      <c r="C284" s="106">
        <f t="shared" si="40"/>
        <v>49795</v>
      </c>
      <c r="D284" s="795">
        <f t="shared" si="35"/>
        <v>0</v>
      </c>
      <c r="E284" s="795" t="str">
        <f>IF($A284="","",IF($A284=1,D$29*$F284*($C284-$C$28)/$K$17,
(D284*ROUND(($C284-VLOOKUP($A284-1,$A$28:$C284,3,0))/30,0)/12*$F284)
))</f>
        <v/>
      </c>
      <c r="F284" s="107">
        <f t="shared" si="36"/>
        <v>0.06</v>
      </c>
      <c r="G284" s="795">
        <f t="shared" ref="G284:G347" si="41">IF($A$26=1,I284,H284)</f>
        <v>0</v>
      </c>
      <c r="H284" s="795">
        <f t="shared" si="37"/>
        <v>0</v>
      </c>
      <c r="I284" s="795">
        <f t="shared" si="38"/>
        <v>0</v>
      </c>
      <c r="J284" s="795">
        <f t="shared" si="39"/>
        <v>0</v>
      </c>
      <c r="K284" s="108">
        <f t="shared" ref="K284:K347" si="42">YEAR(C284)</f>
        <v>2036</v>
      </c>
      <c r="L284" s="646" t="str">
        <f t="shared" ref="L284:L347" si="43">IF(AND(D284&gt;1,D285&lt;1),C284,"")</f>
        <v/>
      </c>
    </row>
    <row r="285" spans="1:12" ht="12.75" customHeight="1">
      <c r="A285" s="645" t="str">
        <f>IF(B285&lt;&gt;"",MAX(A$28:A284)+1,IF(ISNA(HLOOKUP(DATE(YEAR($C$21),MONTH(C285),DAY(C285)),$C$21:$N$21,1,0)),"",MAX(A$28:A284)+1))</f>
        <v/>
      </c>
      <c r="B285" s="91" t="str">
        <f>IF(C285&lt;$K$16,"",IF(ISNA(HLOOKUP(DATE(YEAR($C$20),MONTH($C285),DAY($C285)),$C$20:$N$20,1,0)),"",MAX(B$28:B284)+1))</f>
        <v/>
      </c>
      <c r="C285" s="106">
        <f t="shared" si="40"/>
        <v>49826</v>
      </c>
      <c r="D285" s="795">
        <f t="shared" ref="D285:D348" si="44">D284-G284</f>
        <v>0</v>
      </c>
      <c r="E285" s="795" t="str">
        <f>IF($A285="","",IF($A285=1,D$29*$F285*($C285-$C$28)/$K$17,
(D285*ROUND(($C285-VLOOKUP($A285-1,$A$28:$C285,3,0))/30,0)/12*$F285)
))</f>
        <v/>
      </c>
      <c r="F285" s="107">
        <f t="shared" ref="F285:F348" si="45">IF(C285&gt;=$E$16,$E$15,$C$15)</f>
        <v>0.06</v>
      </c>
      <c r="G285" s="795">
        <f t="shared" si="41"/>
        <v>0</v>
      </c>
      <c r="H285" s="795">
        <f t="shared" ref="H285:H348" si="46">IF(B285="",0,MIN(D285,$E$14*$K$15/$H$16))</f>
        <v>0</v>
      </c>
      <c r="I285" s="795">
        <f t="shared" ref="I285:I348" si="47">IF(B285="",0,MIN(D284,IF(C285&gt;$E$16,$H$18,$H$15)/$H$16-E285))</f>
        <v>0</v>
      </c>
      <c r="J285" s="795">
        <f t="shared" ref="J285:J348" si="48">SUM(E285,G285)</f>
        <v>0</v>
      </c>
      <c r="K285" s="108">
        <f t="shared" si="42"/>
        <v>2036</v>
      </c>
      <c r="L285" s="646" t="str">
        <f t="shared" si="43"/>
        <v/>
      </c>
    </row>
    <row r="286" spans="1:12" ht="12.75" customHeight="1">
      <c r="A286" s="645">
        <f>IF(B286&lt;&gt;"",MAX(A$28:A285)+1,IF(ISNA(HLOOKUP(DATE(YEAR($C$21),MONTH(C286),DAY(C286)),$C$21:$N$21,1,0)),"",MAX(A$28:A285)+1))</f>
        <v>86</v>
      </c>
      <c r="B286" s="91">
        <f>IF(C286&lt;$K$16,"",IF(ISNA(HLOOKUP(DATE(YEAR($C$20),MONTH($C286),DAY($C286)),$C$20:$N$20,1,0)),"",MAX(B$28:B285)+1))</f>
        <v>74</v>
      </c>
      <c r="C286" s="106">
        <f t="shared" ref="C286:C349" si="49">DATE(YEAR(C285),MONTH(C285)+2,1)-1</f>
        <v>49856</v>
      </c>
      <c r="D286" s="795">
        <f t="shared" si="44"/>
        <v>0</v>
      </c>
      <c r="E286" s="795">
        <f>IF($A286="","",IF($A286=1,D$29*$F286*($C286-$C$28)/$K$17,
(D286*ROUND(($C286-VLOOKUP($A286-1,$A$28:$C286,3,0))/30,0)/12*$F286)
))</f>
        <v>0</v>
      </c>
      <c r="F286" s="107">
        <f t="shared" si="45"/>
        <v>0.06</v>
      </c>
      <c r="G286" s="795">
        <f t="shared" si="41"/>
        <v>0</v>
      </c>
      <c r="H286" s="795">
        <f t="shared" si="46"/>
        <v>0</v>
      </c>
      <c r="I286" s="795">
        <f t="shared" si="47"/>
        <v>0</v>
      </c>
      <c r="J286" s="795">
        <f t="shared" si="48"/>
        <v>0</v>
      </c>
      <c r="K286" s="108">
        <f t="shared" si="42"/>
        <v>2036</v>
      </c>
      <c r="L286" s="646" t="str">
        <f t="shared" si="43"/>
        <v/>
      </c>
    </row>
    <row r="287" spans="1:12" ht="12.75" customHeight="1">
      <c r="A287" s="645" t="str">
        <f>IF(B287&lt;&gt;"",MAX(A$28:A286)+1,IF(ISNA(HLOOKUP(DATE(YEAR($C$21),MONTH(C287),DAY(C287)),$C$21:$N$21,1,0)),"",MAX(A$28:A286)+1))</f>
        <v/>
      </c>
      <c r="B287" s="91" t="str">
        <f>IF(C287&lt;$K$16,"",IF(ISNA(HLOOKUP(DATE(YEAR($C$20),MONTH($C287),DAY($C287)),$C$20:$N$20,1,0)),"",MAX(B$28:B286)+1))</f>
        <v/>
      </c>
      <c r="C287" s="106">
        <f t="shared" si="49"/>
        <v>49887</v>
      </c>
      <c r="D287" s="795">
        <f t="shared" si="44"/>
        <v>0</v>
      </c>
      <c r="E287" s="795" t="str">
        <f>IF($A287="","",IF($A287=1,D$29*$F287*($C287-$C$28)/$K$17,
(D287*ROUND(($C287-VLOOKUP($A287-1,$A$28:$C287,3,0))/30,0)/12*$F287)
))</f>
        <v/>
      </c>
      <c r="F287" s="107">
        <f t="shared" si="45"/>
        <v>0.06</v>
      </c>
      <c r="G287" s="795">
        <f t="shared" si="41"/>
        <v>0</v>
      </c>
      <c r="H287" s="795">
        <f t="shared" si="46"/>
        <v>0</v>
      </c>
      <c r="I287" s="795">
        <f t="shared" si="47"/>
        <v>0</v>
      </c>
      <c r="J287" s="795">
        <f t="shared" si="48"/>
        <v>0</v>
      </c>
      <c r="K287" s="108">
        <f t="shared" si="42"/>
        <v>2036</v>
      </c>
      <c r="L287" s="646" t="str">
        <f t="shared" si="43"/>
        <v/>
      </c>
    </row>
    <row r="288" spans="1:12" ht="12.75" customHeight="1">
      <c r="A288" s="645" t="str">
        <f>IF(B288&lt;&gt;"",MAX(A$28:A287)+1,IF(ISNA(HLOOKUP(DATE(YEAR($C$21),MONTH(C288),DAY(C288)),$C$21:$N$21,1,0)),"",MAX(A$28:A287)+1))</f>
        <v/>
      </c>
      <c r="B288" s="91" t="str">
        <f>IF(C288&lt;$K$16,"",IF(ISNA(HLOOKUP(DATE(YEAR($C$20),MONTH($C288),DAY($C288)),$C$20:$N$20,1,0)),"",MAX(B$28:B287)+1))</f>
        <v/>
      </c>
      <c r="C288" s="106">
        <f t="shared" si="49"/>
        <v>49918</v>
      </c>
      <c r="D288" s="795">
        <f t="shared" si="44"/>
        <v>0</v>
      </c>
      <c r="E288" s="795" t="str">
        <f>IF($A288="","",IF($A288=1,D$29*$F288*($C288-$C$28)/$K$17,
(D288*ROUND(($C288-VLOOKUP($A288-1,$A$28:$C288,3,0))/30,0)/12*$F288)
))</f>
        <v/>
      </c>
      <c r="F288" s="107">
        <f t="shared" si="45"/>
        <v>0.06</v>
      </c>
      <c r="G288" s="795">
        <f t="shared" si="41"/>
        <v>0</v>
      </c>
      <c r="H288" s="795">
        <f t="shared" si="46"/>
        <v>0</v>
      </c>
      <c r="I288" s="795">
        <f t="shared" si="47"/>
        <v>0</v>
      </c>
      <c r="J288" s="795">
        <f t="shared" si="48"/>
        <v>0</v>
      </c>
      <c r="K288" s="108">
        <f t="shared" si="42"/>
        <v>2036</v>
      </c>
      <c r="L288" s="646" t="str">
        <f t="shared" si="43"/>
        <v/>
      </c>
    </row>
    <row r="289" spans="1:12" ht="12.75" customHeight="1">
      <c r="A289" s="645">
        <f>IF(B289&lt;&gt;"",MAX(A$28:A288)+1,IF(ISNA(HLOOKUP(DATE(YEAR($C$21),MONTH(C289),DAY(C289)),$C$21:$N$21,1,0)),"",MAX(A$28:A288)+1))</f>
        <v>87</v>
      </c>
      <c r="B289" s="91">
        <f>IF(C289&lt;$K$16,"",IF(ISNA(HLOOKUP(DATE(YEAR($C$20),MONTH($C289),DAY($C289)),$C$20:$N$20,1,0)),"",MAX(B$28:B288)+1))</f>
        <v>75</v>
      </c>
      <c r="C289" s="106">
        <f t="shared" si="49"/>
        <v>49948</v>
      </c>
      <c r="D289" s="795">
        <f t="shared" si="44"/>
        <v>0</v>
      </c>
      <c r="E289" s="795">
        <f>IF($A289="","",IF($A289=1,D$29*$F289*($C289-$C$28)/$K$17,
(D289*ROUND(($C289-VLOOKUP($A289-1,$A$28:$C289,3,0))/30,0)/12*$F289)
))</f>
        <v>0</v>
      </c>
      <c r="F289" s="107">
        <f t="shared" si="45"/>
        <v>0.06</v>
      </c>
      <c r="G289" s="795">
        <f t="shared" si="41"/>
        <v>0</v>
      </c>
      <c r="H289" s="795">
        <f t="shared" si="46"/>
        <v>0</v>
      </c>
      <c r="I289" s="795">
        <f t="shared" si="47"/>
        <v>0</v>
      </c>
      <c r="J289" s="795">
        <f t="shared" si="48"/>
        <v>0</v>
      </c>
      <c r="K289" s="108">
        <f t="shared" si="42"/>
        <v>2036</v>
      </c>
      <c r="L289" s="646" t="str">
        <f t="shared" si="43"/>
        <v/>
      </c>
    </row>
    <row r="290" spans="1:12" ht="12.75" customHeight="1">
      <c r="A290" s="645" t="str">
        <f>IF(B290&lt;&gt;"",MAX(A$28:A289)+1,IF(ISNA(HLOOKUP(DATE(YEAR($C$21),MONTH(C290),DAY(C290)),$C$21:$N$21,1,0)),"",MAX(A$28:A289)+1))</f>
        <v/>
      </c>
      <c r="B290" s="91" t="str">
        <f>IF(C290&lt;$K$16,"",IF(ISNA(HLOOKUP(DATE(YEAR($C$20),MONTH($C290),DAY($C290)),$C$20:$N$20,1,0)),"",MAX(B$28:B289)+1))</f>
        <v/>
      </c>
      <c r="C290" s="106">
        <f t="shared" si="49"/>
        <v>49979</v>
      </c>
      <c r="D290" s="795">
        <f t="shared" si="44"/>
        <v>0</v>
      </c>
      <c r="E290" s="795" t="str">
        <f>IF($A290="","",IF($A290=1,D$29*$F290*($C290-$C$28)/$K$17,
(D290*ROUND(($C290-VLOOKUP($A290-1,$A$28:$C290,3,0))/30,0)/12*$F290)
))</f>
        <v/>
      </c>
      <c r="F290" s="107">
        <f t="shared" si="45"/>
        <v>0.06</v>
      </c>
      <c r="G290" s="795">
        <f t="shared" si="41"/>
        <v>0</v>
      </c>
      <c r="H290" s="795">
        <f t="shared" si="46"/>
        <v>0</v>
      </c>
      <c r="I290" s="795">
        <f t="shared" si="47"/>
        <v>0</v>
      </c>
      <c r="J290" s="795">
        <f t="shared" si="48"/>
        <v>0</v>
      </c>
      <c r="K290" s="108">
        <f t="shared" si="42"/>
        <v>2036</v>
      </c>
      <c r="L290" s="646" t="str">
        <f t="shared" si="43"/>
        <v/>
      </c>
    </row>
    <row r="291" spans="1:12" ht="12.75" customHeight="1">
      <c r="A291" s="645" t="str">
        <f>IF(B291&lt;&gt;"",MAX(A$28:A290)+1,IF(ISNA(HLOOKUP(DATE(YEAR($C$21),MONTH(C291),DAY(C291)),$C$21:$N$21,1,0)),"",MAX(A$28:A290)+1))</f>
        <v/>
      </c>
      <c r="B291" s="91" t="str">
        <f>IF(C291&lt;$K$16,"",IF(ISNA(HLOOKUP(DATE(YEAR($C$20),MONTH($C291),DAY($C291)),$C$20:$N$20,1,0)),"",MAX(B$28:B290)+1))</f>
        <v/>
      </c>
      <c r="C291" s="106">
        <f t="shared" si="49"/>
        <v>50009</v>
      </c>
      <c r="D291" s="795">
        <f t="shared" si="44"/>
        <v>0</v>
      </c>
      <c r="E291" s="795" t="str">
        <f>IF($A291="","",IF($A291=1,D$29*$F291*($C291-$C$28)/$K$17,
(D291*ROUND(($C291-VLOOKUP($A291-1,$A$28:$C291,3,0))/30,0)/12*$F291)
))</f>
        <v/>
      </c>
      <c r="F291" s="107">
        <f t="shared" si="45"/>
        <v>0.06</v>
      </c>
      <c r="G291" s="795">
        <f t="shared" si="41"/>
        <v>0</v>
      </c>
      <c r="H291" s="795">
        <f t="shared" si="46"/>
        <v>0</v>
      </c>
      <c r="I291" s="795">
        <f t="shared" si="47"/>
        <v>0</v>
      </c>
      <c r="J291" s="795">
        <f t="shared" si="48"/>
        <v>0</v>
      </c>
      <c r="K291" s="108">
        <f t="shared" si="42"/>
        <v>2036</v>
      </c>
      <c r="L291" s="646" t="str">
        <f t="shared" si="43"/>
        <v/>
      </c>
    </row>
    <row r="292" spans="1:12" ht="12.75" customHeight="1">
      <c r="A292" s="645">
        <f>IF(B292&lt;&gt;"",MAX(A$28:A291)+1,IF(ISNA(HLOOKUP(DATE(YEAR($C$21),MONTH(C292),DAY(C292)),$C$21:$N$21,1,0)),"",MAX(A$28:A291)+1))</f>
        <v>88</v>
      </c>
      <c r="B292" s="91">
        <f>IF(C292&lt;$K$16,"",IF(ISNA(HLOOKUP(DATE(YEAR($C$20),MONTH($C292),DAY($C292)),$C$20:$N$20,1,0)),"",MAX(B$28:B291)+1))</f>
        <v>76</v>
      </c>
      <c r="C292" s="106">
        <f t="shared" si="49"/>
        <v>50040</v>
      </c>
      <c r="D292" s="795">
        <f t="shared" si="44"/>
        <v>0</v>
      </c>
      <c r="E292" s="795">
        <f>IF($A292="","",IF($A292=1,D$29*$F292*($C292-$C$28)/$K$17,
(D292*ROUND(($C292-VLOOKUP($A292-1,$A$28:$C292,3,0))/30,0)/12*$F292)
))</f>
        <v>0</v>
      </c>
      <c r="F292" s="107">
        <f t="shared" si="45"/>
        <v>0.06</v>
      </c>
      <c r="G292" s="795">
        <f t="shared" si="41"/>
        <v>0</v>
      </c>
      <c r="H292" s="795">
        <f t="shared" si="46"/>
        <v>0</v>
      </c>
      <c r="I292" s="795">
        <f t="shared" si="47"/>
        <v>0</v>
      </c>
      <c r="J292" s="795">
        <f t="shared" si="48"/>
        <v>0</v>
      </c>
      <c r="K292" s="108">
        <f t="shared" si="42"/>
        <v>2036</v>
      </c>
      <c r="L292" s="646" t="str">
        <f t="shared" si="43"/>
        <v/>
      </c>
    </row>
    <row r="293" spans="1:12" ht="12.75" customHeight="1">
      <c r="A293" s="645" t="str">
        <f>IF(B293&lt;&gt;"",MAX(A$28:A292)+1,IF(ISNA(HLOOKUP(DATE(YEAR($C$21),MONTH(C293),DAY(C293)),$C$21:$N$21,1,0)),"",MAX(A$28:A292)+1))</f>
        <v/>
      </c>
      <c r="B293" s="91" t="str">
        <f>IF(C293&lt;$K$16,"",IF(ISNA(HLOOKUP(DATE(YEAR($C$20),MONTH($C293),DAY($C293)),$C$20:$N$20,1,0)),"",MAX(B$28:B292)+1))</f>
        <v/>
      </c>
      <c r="C293" s="106">
        <f t="shared" si="49"/>
        <v>50071</v>
      </c>
      <c r="D293" s="795">
        <f t="shared" si="44"/>
        <v>0</v>
      </c>
      <c r="E293" s="795" t="str">
        <f>IF($A293="","",IF($A293=1,D$29*$F293*($C293-$C$28)/$K$17,
(D293*ROUND(($C293-VLOOKUP($A293-1,$A$28:$C293,3,0))/30,0)/12*$F293)
))</f>
        <v/>
      </c>
      <c r="F293" s="107">
        <f t="shared" si="45"/>
        <v>0.06</v>
      </c>
      <c r="G293" s="795">
        <f t="shared" si="41"/>
        <v>0</v>
      </c>
      <c r="H293" s="795">
        <f t="shared" si="46"/>
        <v>0</v>
      </c>
      <c r="I293" s="795">
        <f t="shared" si="47"/>
        <v>0</v>
      </c>
      <c r="J293" s="795">
        <f t="shared" si="48"/>
        <v>0</v>
      </c>
      <c r="K293" s="108">
        <f t="shared" si="42"/>
        <v>2037</v>
      </c>
      <c r="L293" s="646" t="str">
        <f t="shared" si="43"/>
        <v/>
      </c>
    </row>
    <row r="294" spans="1:12" ht="12.75" customHeight="1">
      <c r="A294" s="645" t="str">
        <f>IF(B294&lt;&gt;"",MAX(A$28:A293)+1,IF(ISNA(HLOOKUP(DATE(YEAR($C$21),MONTH(C294),DAY(C294)),$C$21:$N$21,1,0)),"",MAX(A$28:A293)+1))</f>
        <v/>
      </c>
      <c r="B294" s="91" t="str">
        <f>IF(C294&lt;$K$16,"",IF(ISNA(HLOOKUP(DATE(YEAR($C$20),MONTH($C294),DAY($C294)),$C$20:$N$20,1,0)),"",MAX(B$28:B293)+1))</f>
        <v/>
      </c>
      <c r="C294" s="106">
        <f t="shared" si="49"/>
        <v>50099</v>
      </c>
      <c r="D294" s="795">
        <f t="shared" si="44"/>
        <v>0</v>
      </c>
      <c r="E294" s="795" t="str">
        <f>IF($A294="","",IF($A294=1,D$29*$F294*($C294-$C$28)/$K$17,
(D294*ROUND(($C294-VLOOKUP($A294-1,$A$28:$C294,3,0))/30,0)/12*$F294)
))</f>
        <v/>
      </c>
      <c r="F294" s="107">
        <f t="shared" si="45"/>
        <v>0.06</v>
      </c>
      <c r="G294" s="795">
        <f t="shared" si="41"/>
        <v>0</v>
      </c>
      <c r="H294" s="795">
        <f t="shared" si="46"/>
        <v>0</v>
      </c>
      <c r="I294" s="795">
        <f t="shared" si="47"/>
        <v>0</v>
      </c>
      <c r="J294" s="795">
        <f t="shared" si="48"/>
        <v>0</v>
      </c>
      <c r="K294" s="108">
        <f t="shared" si="42"/>
        <v>2037</v>
      </c>
      <c r="L294" s="646" t="str">
        <f t="shared" si="43"/>
        <v/>
      </c>
    </row>
    <row r="295" spans="1:12" ht="12.75" customHeight="1">
      <c r="A295" s="645">
        <f>IF(B295&lt;&gt;"",MAX(A$28:A294)+1,IF(ISNA(HLOOKUP(DATE(YEAR($C$21),MONTH(C295),DAY(C295)),$C$21:$N$21,1,0)),"",MAX(A$28:A294)+1))</f>
        <v>89</v>
      </c>
      <c r="B295" s="91">
        <f>IF(C295&lt;$K$16,"",IF(ISNA(HLOOKUP(DATE(YEAR($C$20),MONTH($C295),DAY($C295)),$C$20:$N$20,1,0)),"",MAX(B$28:B294)+1))</f>
        <v>77</v>
      </c>
      <c r="C295" s="106">
        <f t="shared" si="49"/>
        <v>50130</v>
      </c>
      <c r="D295" s="795">
        <f t="shared" si="44"/>
        <v>0</v>
      </c>
      <c r="E295" s="795">
        <f>IF($A295="","",IF($A295=1,D$29*$F295*($C295-$C$28)/$K$17,
(D295*ROUND(($C295-VLOOKUP($A295-1,$A$28:$C295,3,0))/30,0)/12*$F295)
))</f>
        <v>0</v>
      </c>
      <c r="F295" s="107">
        <f t="shared" si="45"/>
        <v>0.06</v>
      </c>
      <c r="G295" s="795">
        <f t="shared" si="41"/>
        <v>0</v>
      </c>
      <c r="H295" s="795">
        <f t="shared" si="46"/>
        <v>0</v>
      </c>
      <c r="I295" s="795">
        <f t="shared" si="47"/>
        <v>0</v>
      </c>
      <c r="J295" s="795">
        <f t="shared" si="48"/>
        <v>0</v>
      </c>
      <c r="K295" s="108">
        <f t="shared" si="42"/>
        <v>2037</v>
      </c>
      <c r="L295" s="646" t="str">
        <f t="shared" si="43"/>
        <v/>
      </c>
    </row>
    <row r="296" spans="1:12" ht="12.75" customHeight="1">
      <c r="A296" s="645" t="str">
        <f>IF(B296&lt;&gt;"",MAX(A$28:A295)+1,IF(ISNA(HLOOKUP(DATE(YEAR($C$21),MONTH(C296),DAY(C296)),$C$21:$N$21,1,0)),"",MAX(A$28:A295)+1))</f>
        <v/>
      </c>
      <c r="B296" s="91" t="str">
        <f>IF(C296&lt;$K$16,"",IF(ISNA(HLOOKUP(DATE(YEAR($C$20),MONTH($C296),DAY($C296)),$C$20:$N$20,1,0)),"",MAX(B$28:B295)+1))</f>
        <v/>
      </c>
      <c r="C296" s="106">
        <f t="shared" si="49"/>
        <v>50160</v>
      </c>
      <c r="D296" s="795">
        <f t="shared" si="44"/>
        <v>0</v>
      </c>
      <c r="E296" s="795" t="str">
        <f>IF($A296="","",IF($A296=1,D$29*$F296*($C296-$C$28)/$K$17,
(D296*ROUND(($C296-VLOOKUP($A296-1,$A$28:$C296,3,0))/30,0)/12*$F296)
))</f>
        <v/>
      </c>
      <c r="F296" s="107">
        <f t="shared" si="45"/>
        <v>0.06</v>
      </c>
      <c r="G296" s="795">
        <f t="shared" si="41"/>
        <v>0</v>
      </c>
      <c r="H296" s="795">
        <f t="shared" si="46"/>
        <v>0</v>
      </c>
      <c r="I296" s="795">
        <f t="shared" si="47"/>
        <v>0</v>
      </c>
      <c r="J296" s="795">
        <f t="shared" si="48"/>
        <v>0</v>
      </c>
      <c r="K296" s="108">
        <f t="shared" si="42"/>
        <v>2037</v>
      </c>
      <c r="L296" s="646" t="str">
        <f t="shared" si="43"/>
        <v/>
      </c>
    </row>
    <row r="297" spans="1:12" ht="12.75" customHeight="1">
      <c r="A297" s="645" t="str">
        <f>IF(B297&lt;&gt;"",MAX(A$28:A296)+1,IF(ISNA(HLOOKUP(DATE(YEAR($C$21),MONTH(C297),DAY(C297)),$C$21:$N$21,1,0)),"",MAX(A$28:A296)+1))</f>
        <v/>
      </c>
      <c r="B297" s="91" t="str">
        <f>IF(C297&lt;$K$16,"",IF(ISNA(HLOOKUP(DATE(YEAR($C$20),MONTH($C297),DAY($C297)),$C$20:$N$20,1,0)),"",MAX(B$28:B296)+1))</f>
        <v/>
      </c>
      <c r="C297" s="106">
        <f t="shared" si="49"/>
        <v>50191</v>
      </c>
      <c r="D297" s="795">
        <f t="shared" si="44"/>
        <v>0</v>
      </c>
      <c r="E297" s="795" t="str">
        <f>IF($A297="","",IF($A297=1,D$29*$F297*($C297-$C$28)/$K$17,
(D297*ROUND(($C297-VLOOKUP($A297-1,$A$28:$C297,3,0))/30,0)/12*$F297)
))</f>
        <v/>
      </c>
      <c r="F297" s="107">
        <f t="shared" si="45"/>
        <v>0.06</v>
      </c>
      <c r="G297" s="795">
        <f t="shared" si="41"/>
        <v>0</v>
      </c>
      <c r="H297" s="795">
        <f t="shared" si="46"/>
        <v>0</v>
      </c>
      <c r="I297" s="795">
        <f t="shared" si="47"/>
        <v>0</v>
      </c>
      <c r="J297" s="795">
        <f t="shared" si="48"/>
        <v>0</v>
      </c>
      <c r="K297" s="108">
        <f t="shared" si="42"/>
        <v>2037</v>
      </c>
      <c r="L297" s="646" t="str">
        <f t="shared" si="43"/>
        <v/>
      </c>
    </row>
    <row r="298" spans="1:12" ht="12.75" customHeight="1">
      <c r="A298" s="645">
        <f>IF(B298&lt;&gt;"",MAX(A$28:A297)+1,IF(ISNA(HLOOKUP(DATE(YEAR($C$21),MONTH(C298),DAY(C298)),$C$21:$N$21,1,0)),"",MAX(A$28:A297)+1))</f>
        <v>90</v>
      </c>
      <c r="B298" s="91">
        <f>IF(C298&lt;$K$16,"",IF(ISNA(HLOOKUP(DATE(YEAR($C$20),MONTH($C298),DAY($C298)),$C$20:$N$20,1,0)),"",MAX(B$28:B297)+1))</f>
        <v>78</v>
      </c>
      <c r="C298" s="106">
        <f t="shared" si="49"/>
        <v>50221</v>
      </c>
      <c r="D298" s="795">
        <f t="shared" si="44"/>
        <v>0</v>
      </c>
      <c r="E298" s="795">
        <f>IF($A298="","",IF($A298=1,D$29*$F298*($C298-$C$28)/$K$17,
(D298*ROUND(($C298-VLOOKUP($A298-1,$A$28:$C298,3,0))/30,0)/12*$F298)
))</f>
        <v>0</v>
      </c>
      <c r="F298" s="107">
        <f t="shared" si="45"/>
        <v>0.06</v>
      </c>
      <c r="G298" s="795">
        <f t="shared" si="41"/>
        <v>0</v>
      </c>
      <c r="H298" s="795">
        <f t="shared" si="46"/>
        <v>0</v>
      </c>
      <c r="I298" s="795">
        <f t="shared" si="47"/>
        <v>0</v>
      </c>
      <c r="J298" s="795">
        <f t="shared" si="48"/>
        <v>0</v>
      </c>
      <c r="K298" s="108">
        <f t="shared" si="42"/>
        <v>2037</v>
      </c>
      <c r="L298" s="646" t="str">
        <f t="shared" si="43"/>
        <v/>
      </c>
    </row>
    <row r="299" spans="1:12" ht="12.75" customHeight="1">
      <c r="A299" s="645" t="str">
        <f>IF(B299&lt;&gt;"",MAX(A$28:A298)+1,IF(ISNA(HLOOKUP(DATE(YEAR($C$21),MONTH(C299),DAY(C299)),$C$21:$N$21,1,0)),"",MAX(A$28:A298)+1))</f>
        <v/>
      </c>
      <c r="B299" s="91" t="str">
        <f>IF(C299&lt;$K$16,"",IF(ISNA(HLOOKUP(DATE(YEAR($C$20),MONTH($C299),DAY($C299)),$C$20:$N$20,1,0)),"",MAX(B$28:B298)+1))</f>
        <v/>
      </c>
      <c r="C299" s="106">
        <f t="shared" si="49"/>
        <v>50252</v>
      </c>
      <c r="D299" s="795">
        <f t="shared" si="44"/>
        <v>0</v>
      </c>
      <c r="E299" s="795" t="str">
        <f>IF($A299="","",IF($A299=1,D$29*$F299*($C299-$C$28)/$K$17,
(D299*ROUND(($C299-VLOOKUP($A299-1,$A$28:$C299,3,0))/30,0)/12*$F299)
))</f>
        <v/>
      </c>
      <c r="F299" s="107">
        <f t="shared" si="45"/>
        <v>0.06</v>
      </c>
      <c r="G299" s="795">
        <f t="shared" si="41"/>
        <v>0</v>
      </c>
      <c r="H299" s="795">
        <f t="shared" si="46"/>
        <v>0</v>
      </c>
      <c r="I299" s="795">
        <f t="shared" si="47"/>
        <v>0</v>
      </c>
      <c r="J299" s="795">
        <f t="shared" si="48"/>
        <v>0</v>
      </c>
      <c r="K299" s="108">
        <f t="shared" si="42"/>
        <v>2037</v>
      </c>
      <c r="L299" s="646" t="str">
        <f t="shared" si="43"/>
        <v/>
      </c>
    </row>
    <row r="300" spans="1:12" ht="12.75" customHeight="1">
      <c r="A300" s="645" t="str">
        <f>IF(B300&lt;&gt;"",MAX(A$28:A299)+1,IF(ISNA(HLOOKUP(DATE(YEAR($C$21),MONTH(C300),DAY(C300)),$C$21:$N$21,1,0)),"",MAX(A$28:A299)+1))</f>
        <v/>
      </c>
      <c r="B300" s="91" t="str">
        <f>IF(C300&lt;$K$16,"",IF(ISNA(HLOOKUP(DATE(YEAR($C$20),MONTH($C300),DAY($C300)),$C$20:$N$20,1,0)),"",MAX(B$28:B299)+1))</f>
        <v/>
      </c>
      <c r="C300" s="106">
        <f t="shared" si="49"/>
        <v>50283</v>
      </c>
      <c r="D300" s="795">
        <f t="shared" si="44"/>
        <v>0</v>
      </c>
      <c r="E300" s="795" t="str">
        <f>IF($A300="","",IF($A300=1,D$29*$F300*($C300-$C$28)/$K$17,
(D300*ROUND(($C300-VLOOKUP($A300-1,$A$28:$C300,3,0))/30,0)/12*$F300)
))</f>
        <v/>
      </c>
      <c r="F300" s="107">
        <f t="shared" si="45"/>
        <v>0.06</v>
      </c>
      <c r="G300" s="795">
        <f t="shared" si="41"/>
        <v>0</v>
      </c>
      <c r="H300" s="795">
        <f t="shared" si="46"/>
        <v>0</v>
      </c>
      <c r="I300" s="795">
        <f t="shared" si="47"/>
        <v>0</v>
      </c>
      <c r="J300" s="795">
        <f t="shared" si="48"/>
        <v>0</v>
      </c>
      <c r="K300" s="108">
        <f t="shared" si="42"/>
        <v>2037</v>
      </c>
      <c r="L300" s="646" t="str">
        <f t="shared" si="43"/>
        <v/>
      </c>
    </row>
    <row r="301" spans="1:12" ht="12.75" customHeight="1">
      <c r="A301" s="645">
        <f>IF(B301&lt;&gt;"",MAX(A$28:A300)+1,IF(ISNA(HLOOKUP(DATE(YEAR($C$21),MONTH(C301),DAY(C301)),$C$21:$N$21,1,0)),"",MAX(A$28:A300)+1))</f>
        <v>91</v>
      </c>
      <c r="B301" s="91">
        <f>IF(C301&lt;$K$16,"",IF(ISNA(HLOOKUP(DATE(YEAR($C$20),MONTH($C301),DAY($C301)),$C$20:$N$20,1,0)),"",MAX(B$28:B300)+1))</f>
        <v>79</v>
      </c>
      <c r="C301" s="106">
        <f t="shared" si="49"/>
        <v>50313</v>
      </c>
      <c r="D301" s="795">
        <f t="shared" si="44"/>
        <v>0</v>
      </c>
      <c r="E301" s="795">
        <f>IF($A301="","",IF($A301=1,D$29*$F301*($C301-$C$28)/$K$17,
(D301*ROUND(($C301-VLOOKUP($A301-1,$A$28:$C301,3,0))/30,0)/12*$F301)
))</f>
        <v>0</v>
      </c>
      <c r="F301" s="107">
        <f t="shared" si="45"/>
        <v>0.06</v>
      </c>
      <c r="G301" s="795">
        <f t="shared" si="41"/>
        <v>0</v>
      </c>
      <c r="H301" s="795">
        <f t="shared" si="46"/>
        <v>0</v>
      </c>
      <c r="I301" s="795">
        <f t="shared" si="47"/>
        <v>0</v>
      </c>
      <c r="J301" s="795">
        <f t="shared" si="48"/>
        <v>0</v>
      </c>
      <c r="K301" s="108">
        <f t="shared" si="42"/>
        <v>2037</v>
      </c>
      <c r="L301" s="646" t="str">
        <f t="shared" si="43"/>
        <v/>
      </c>
    </row>
    <row r="302" spans="1:12" ht="12.75" customHeight="1">
      <c r="A302" s="645" t="str">
        <f>IF(B302&lt;&gt;"",MAX(A$28:A301)+1,IF(ISNA(HLOOKUP(DATE(YEAR($C$21),MONTH(C302),DAY(C302)),$C$21:$N$21,1,0)),"",MAX(A$28:A301)+1))</f>
        <v/>
      </c>
      <c r="B302" s="91" t="str">
        <f>IF(C302&lt;$K$16,"",IF(ISNA(HLOOKUP(DATE(YEAR($C$20),MONTH($C302),DAY($C302)),$C$20:$N$20,1,0)),"",MAX(B$28:B301)+1))</f>
        <v/>
      </c>
      <c r="C302" s="106">
        <f t="shared" si="49"/>
        <v>50344</v>
      </c>
      <c r="D302" s="795">
        <f t="shared" si="44"/>
        <v>0</v>
      </c>
      <c r="E302" s="795" t="str">
        <f>IF($A302="","",IF($A302=1,D$29*$F302*($C302-$C$28)/$K$17,
(D302*ROUND(($C302-VLOOKUP($A302-1,$A$28:$C302,3,0))/30,0)/12*$F302)
))</f>
        <v/>
      </c>
      <c r="F302" s="107">
        <f t="shared" si="45"/>
        <v>0.06</v>
      </c>
      <c r="G302" s="795">
        <f t="shared" si="41"/>
        <v>0</v>
      </c>
      <c r="H302" s="795">
        <f t="shared" si="46"/>
        <v>0</v>
      </c>
      <c r="I302" s="795">
        <f t="shared" si="47"/>
        <v>0</v>
      </c>
      <c r="J302" s="795">
        <f t="shared" si="48"/>
        <v>0</v>
      </c>
      <c r="K302" s="108">
        <f t="shared" si="42"/>
        <v>2037</v>
      </c>
      <c r="L302" s="646" t="str">
        <f t="shared" si="43"/>
        <v/>
      </c>
    </row>
    <row r="303" spans="1:12" ht="12.75" customHeight="1">
      <c r="A303" s="645" t="str">
        <f>IF(B303&lt;&gt;"",MAX(A$28:A302)+1,IF(ISNA(HLOOKUP(DATE(YEAR($C$21),MONTH(C303),DAY(C303)),$C$21:$N$21,1,0)),"",MAX(A$28:A302)+1))</f>
        <v/>
      </c>
      <c r="B303" s="91" t="str">
        <f>IF(C303&lt;$K$16,"",IF(ISNA(HLOOKUP(DATE(YEAR($C$20),MONTH($C303),DAY($C303)),$C$20:$N$20,1,0)),"",MAX(B$28:B302)+1))</f>
        <v/>
      </c>
      <c r="C303" s="106">
        <f t="shared" si="49"/>
        <v>50374</v>
      </c>
      <c r="D303" s="795">
        <f t="shared" si="44"/>
        <v>0</v>
      </c>
      <c r="E303" s="795" t="str">
        <f>IF($A303="","",IF($A303=1,D$29*$F303*($C303-$C$28)/$K$17,
(D303*ROUND(($C303-VLOOKUP($A303-1,$A$28:$C303,3,0))/30,0)/12*$F303)
))</f>
        <v/>
      </c>
      <c r="F303" s="107">
        <f t="shared" si="45"/>
        <v>0.06</v>
      </c>
      <c r="G303" s="795">
        <f t="shared" si="41"/>
        <v>0</v>
      </c>
      <c r="H303" s="795">
        <f t="shared" si="46"/>
        <v>0</v>
      </c>
      <c r="I303" s="795">
        <f t="shared" si="47"/>
        <v>0</v>
      </c>
      <c r="J303" s="795">
        <f t="shared" si="48"/>
        <v>0</v>
      </c>
      <c r="K303" s="108">
        <f t="shared" si="42"/>
        <v>2037</v>
      </c>
      <c r="L303" s="646" t="str">
        <f t="shared" si="43"/>
        <v/>
      </c>
    </row>
    <row r="304" spans="1:12" ht="12.75" customHeight="1">
      <c r="A304" s="645">
        <f>IF(B304&lt;&gt;"",MAX(A$28:A303)+1,IF(ISNA(HLOOKUP(DATE(YEAR($C$21),MONTH(C304),DAY(C304)),$C$21:$N$21,1,0)),"",MAX(A$28:A303)+1))</f>
        <v>92</v>
      </c>
      <c r="B304" s="91">
        <f>IF(C304&lt;$K$16,"",IF(ISNA(HLOOKUP(DATE(YEAR($C$20),MONTH($C304),DAY($C304)),$C$20:$N$20,1,0)),"",MAX(B$28:B303)+1))</f>
        <v>80</v>
      </c>
      <c r="C304" s="106">
        <f t="shared" si="49"/>
        <v>50405</v>
      </c>
      <c r="D304" s="795">
        <f t="shared" si="44"/>
        <v>0</v>
      </c>
      <c r="E304" s="795">
        <f>IF($A304="","",IF($A304=1,D$29*$F304*($C304-$C$28)/$K$17,
(D304*ROUND(($C304-VLOOKUP($A304-1,$A$28:$C304,3,0))/30,0)/12*$F304)
))</f>
        <v>0</v>
      </c>
      <c r="F304" s="107">
        <f t="shared" si="45"/>
        <v>0.06</v>
      </c>
      <c r="G304" s="795">
        <f t="shared" si="41"/>
        <v>0</v>
      </c>
      <c r="H304" s="795">
        <f t="shared" si="46"/>
        <v>0</v>
      </c>
      <c r="I304" s="795">
        <f t="shared" si="47"/>
        <v>0</v>
      </c>
      <c r="J304" s="795">
        <f t="shared" si="48"/>
        <v>0</v>
      </c>
      <c r="K304" s="108">
        <f t="shared" si="42"/>
        <v>2037</v>
      </c>
      <c r="L304" s="646" t="str">
        <f t="shared" si="43"/>
        <v/>
      </c>
    </row>
    <row r="305" spans="1:12" ht="12.75" customHeight="1">
      <c r="A305" s="645" t="str">
        <f>IF(B305&lt;&gt;"",MAX(A$28:A304)+1,IF(ISNA(HLOOKUP(DATE(YEAR($C$21),MONTH(C305),DAY(C305)),$C$21:$N$21,1,0)),"",MAX(A$28:A304)+1))</f>
        <v/>
      </c>
      <c r="B305" s="91" t="str">
        <f>IF(C305&lt;$K$16,"",IF(ISNA(HLOOKUP(DATE(YEAR($C$20),MONTH($C305),DAY($C305)),$C$20:$N$20,1,0)),"",MAX(B$28:B304)+1))</f>
        <v/>
      </c>
      <c r="C305" s="106">
        <f t="shared" si="49"/>
        <v>50436</v>
      </c>
      <c r="D305" s="795">
        <f t="shared" si="44"/>
        <v>0</v>
      </c>
      <c r="E305" s="795" t="str">
        <f>IF($A305="","",IF($A305=1,D$29*$F305*($C305-$C$28)/$K$17,
(D305*ROUND(($C305-VLOOKUP($A305-1,$A$28:$C305,3,0))/30,0)/12*$F305)
))</f>
        <v/>
      </c>
      <c r="F305" s="107">
        <f t="shared" si="45"/>
        <v>0.06</v>
      </c>
      <c r="G305" s="795">
        <f t="shared" si="41"/>
        <v>0</v>
      </c>
      <c r="H305" s="795">
        <f t="shared" si="46"/>
        <v>0</v>
      </c>
      <c r="I305" s="795">
        <f t="shared" si="47"/>
        <v>0</v>
      </c>
      <c r="J305" s="795">
        <f t="shared" si="48"/>
        <v>0</v>
      </c>
      <c r="K305" s="108">
        <f t="shared" si="42"/>
        <v>2038</v>
      </c>
      <c r="L305" s="646" t="str">
        <f t="shared" si="43"/>
        <v/>
      </c>
    </row>
    <row r="306" spans="1:12" ht="12.75" customHeight="1">
      <c r="A306" s="645" t="str">
        <f>IF(B306&lt;&gt;"",MAX(A$28:A305)+1,IF(ISNA(HLOOKUP(DATE(YEAR($C$21),MONTH(C306),DAY(C306)),$C$21:$N$21,1,0)),"",MAX(A$28:A305)+1))</f>
        <v/>
      </c>
      <c r="B306" s="91" t="str">
        <f>IF(C306&lt;$K$16,"",IF(ISNA(HLOOKUP(DATE(YEAR($C$20),MONTH($C306),DAY($C306)),$C$20:$N$20,1,0)),"",MAX(B$28:B305)+1))</f>
        <v/>
      </c>
      <c r="C306" s="106">
        <f t="shared" si="49"/>
        <v>50464</v>
      </c>
      <c r="D306" s="795">
        <f t="shared" si="44"/>
        <v>0</v>
      </c>
      <c r="E306" s="795" t="str">
        <f>IF($A306="","",IF($A306=1,D$29*$F306*($C306-$C$28)/$K$17,
(D306*ROUND(($C306-VLOOKUP($A306-1,$A$28:$C306,3,0))/30,0)/12*$F306)
))</f>
        <v/>
      </c>
      <c r="F306" s="107">
        <f t="shared" si="45"/>
        <v>0.06</v>
      </c>
      <c r="G306" s="795">
        <f t="shared" si="41"/>
        <v>0</v>
      </c>
      <c r="H306" s="795">
        <f t="shared" si="46"/>
        <v>0</v>
      </c>
      <c r="I306" s="795">
        <f t="shared" si="47"/>
        <v>0</v>
      </c>
      <c r="J306" s="795">
        <f t="shared" si="48"/>
        <v>0</v>
      </c>
      <c r="K306" s="108">
        <f t="shared" si="42"/>
        <v>2038</v>
      </c>
      <c r="L306" s="646" t="str">
        <f t="shared" si="43"/>
        <v/>
      </c>
    </row>
    <row r="307" spans="1:12" ht="12.75" customHeight="1">
      <c r="A307" s="645">
        <f>IF(B307&lt;&gt;"",MAX(A$28:A306)+1,IF(ISNA(HLOOKUP(DATE(YEAR($C$21),MONTH(C307),DAY(C307)),$C$21:$N$21,1,0)),"",MAX(A$28:A306)+1))</f>
        <v>93</v>
      </c>
      <c r="B307" s="91">
        <f>IF(C307&lt;$K$16,"",IF(ISNA(HLOOKUP(DATE(YEAR($C$20),MONTH($C307),DAY($C307)),$C$20:$N$20,1,0)),"",MAX(B$28:B306)+1))</f>
        <v>81</v>
      </c>
      <c r="C307" s="106">
        <f t="shared" si="49"/>
        <v>50495</v>
      </c>
      <c r="D307" s="795">
        <f t="shared" si="44"/>
        <v>0</v>
      </c>
      <c r="E307" s="795">
        <f>IF($A307="","",IF($A307=1,D$29*$F307*($C307-$C$28)/$K$17,
(D307*ROUND(($C307-VLOOKUP($A307-1,$A$28:$C307,3,0))/30,0)/12*$F307)
))</f>
        <v>0</v>
      </c>
      <c r="F307" s="107">
        <f t="shared" si="45"/>
        <v>0.06</v>
      </c>
      <c r="G307" s="795">
        <f t="shared" si="41"/>
        <v>0</v>
      </c>
      <c r="H307" s="795">
        <f t="shared" si="46"/>
        <v>0</v>
      </c>
      <c r="I307" s="795">
        <f t="shared" si="47"/>
        <v>0</v>
      </c>
      <c r="J307" s="795">
        <f t="shared" si="48"/>
        <v>0</v>
      </c>
      <c r="K307" s="108">
        <f t="shared" si="42"/>
        <v>2038</v>
      </c>
      <c r="L307" s="646" t="str">
        <f t="shared" si="43"/>
        <v/>
      </c>
    </row>
    <row r="308" spans="1:12" ht="12.75" customHeight="1">
      <c r="A308" s="645" t="str">
        <f>IF(B308&lt;&gt;"",MAX(A$28:A307)+1,IF(ISNA(HLOOKUP(DATE(YEAR($C$21),MONTH(C308),DAY(C308)),$C$21:$N$21,1,0)),"",MAX(A$28:A307)+1))</f>
        <v/>
      </c>
      <c r="B308" s="91" t="str">
        <f>IF(C308&lt;$K$16,"",IF(ISNA(HLOOKUP(DATE(YEAR($C$20),MONTH($C308),DAY($C308)),$C$20:$N$20,1,0)),"",MAX(B$28:B307)+1))</f>
        <v/>
      </c>
      <c r="C308" s="106">
        <f t="shared" si="49"/>
        <v>50525</v>
      </c>
      <c r="D308" s="795">
        <f t="shared" si="44"/>
        <v>0</v>
      </c>
      <c r="E308" s="795" t="str">
        <f>IF($A308="","",IF($A308=1,D$29*$F308*($C308-$C$28)/$K$17,
(D308*ROUND(($C308-VLOOKUP($A308-1,$A$28:$C308,3,0))/30,0)/12*$F308)
))</f>
        <v/>
      </c>
      <c r="F308" s="107">
        <f t="shared" si="45"/>
        <v>0.06</v>
      </c>
      <c r="G308" s="795">
        <f t="shared" si="41"/>
        <v>0</v>
      </c>
      <c r="H308" s="795">
        <f t="shared" si="46"/>
        <v>0</v>
      </c>
      <c r="I308" s="795">
        <f t="shared" si="47"/>
        <v>0</v>
      </c>
      <c r="J308" s="795">
        <f t="shared" si="48"/>
        <v>0</v>
      </c>
      <c r="K308" s="108">
        <f t="shared" si="42"/>
        <v>2038</v>
      </c>
      <c r="L308" s="646" t="str">
        <f t="shared" si="43"/>
        <v/>
      </c>
    </row>
    <row r="309" spans="1:12" ht="12.75" customHeight="1">
      <c r="A309" s="645" t="str">
        <f>IF(B309&lt;&gt;"",MAX(A$28:A308)+1,IF(ISNA(HLOOKUP(DATE(YEAR($C$21),MONTH(C309),DAY(C309)),$C$21:$N$21,1,0)),"",MAX(A$28:A308)+1))</f>
        <v/>
      </c>
      <c r="B309" s="91" t="str">
        <f>IF(C309&lt;$K$16,"",IF(ISNA(HLOOKUP(DATE(YEAR($C$20),MONTH($C309),DAY($C309)),$C$20:$N$20,1,0)),"",MAX(B$28:B308)+1))</f>
        <v/>
      </c>
      <c r="C309" s="106">
        <f t="shared" si="49"/>
        <v>50556</v>
      </c>
      <c r="D309" s="795">
        <f t="shared" si="44"/>
        <v>0</v>
      </c>
      <c r="E309" s="795" t="str">
        <f>IF($A309="","",IF($A309=1,D$29*$F309*($C309-$C$28)/$K$17,
(D309*ROUND(($C309-VLOOKUP($A309-1,$A$28:$C309,3,0))/30,0)/12*$F309)
))</f>
        <v/>
      </c>
      <c r="F309" s="107">
        <f t="shared" si="45"/>
        <v>0.06</v>
      </c>
      <c r="G309" s="795">
        <f t="shared" si="41"/>
        <v>0</v>
      </c>
      <c r="H309" s="795">
        <f t="shared" si="46"/>
        <v>0</v>
      </c>
      <c r="I309" s="795">
        <f t="shared" si="47"/>
        <v>0</v>
      </c>
      <c r="J309" s="795">
        <f t="shared" si="48"/>
        <v>0</v>
      </c>
      <c r="K309" s="108">
        <f t="shared" si="42"/>
        <v>2038</v>
      </c>
      <c r="L309" s="646" t="str">
        <f t="shared" si="43"/>
        <v/>
      </c>
    </row>
    <row r="310" spans="1:12" ht="12.75" customHeight="1">
      <c r="A310" s="645">
        <f>IF(B310&lt;&gt;"",MAX(A$28:A309)+1,IF(ISNA(HLOOKUP(DATE(YEAR($C$21),MONTH(C310),DAY(C310)),$C$21:$N$21,1,0)),"",MAX(A$28:A309)+1))</f>
        <v>94</v>
      </c>
      <c r="B310" s="91">
        <f>IF(C310&lt;$K$16,"",IF(ISNA(HLOOKUP(DATE(YEAR($C$20),MONTH($C310),DAY($C310)),$C$20:$N$20,1,0)),"",MAX(B$28:B309)+1))</f>
        <v>82</v>
      </c>
      <c r="C310" s="106">
        <f t="shared" si="49"/>
        <v>50586</v>
      </c>
      <c r="D310" s="795">
        <f t="shared" si="44"/>
        <v>0</v>
      </c>
      <c r="E310" s="795">
        <f>IF($A310="","",IF($A310=1,D$29*$F310*($C310-$C$28)/$K$17,
(D310*ROUND(($C310-VLOOKUP($A310-1,$A$28:$C310,3,0))/30,0)/12*$F310)
))</f>
        <v>0</v>
      </c>
      <c r="F310" s="107">
        <f t="shared" si="45"/>
        <v>0.06</v>
      </c>
      <c r="G310" s="795">
        <f t="shared" si="41"/>
        <v>0</v>
      </c>
      <c r="H310" s="795">
        <f t="shared" si="46"/>
        <v>0</v>
      </c>
      <c r="I310" s="795">
        <f t="shared" si="47"/>
        <v>0</v>
      </c>
      <c r="J310" s="795">
        <f t="shared" si="48"/>
        <v>0</v>
      </c>
      <c r="K310" s="108">
        <f t="shared" si="42"/>
        <v>2038</v>
      </c>
      <c r="L310" s="646" t="str">
        <f t="shared" si="43"/>
        <v/>
      </c>
    </row>
    <row r="311" spans="1:12" ht="12.75" customHeight="1">
      <c r="A311" s="645" t="str">
        <f>IF(B311&lt;&gt;"",MAX(A$28:A310)+1,IF(ISNA(HLOOKUP(DATE(YEAR($C$21),MONTH(C311),DAY(C311)),$C$21:$N$21,1,0)),"",MAX(A$28:A310)+1))</f>
        <v/>
      </c>
      <c r="B311" s="91" t="str">
        <f>IF(C311&lt;$K$16,"",IF(ISNA(HLOOKUP(DATE(YEAR($C$20),MONTH($C311),DAY($C311)),$C$20:$N$20,1,0)),"",MAX(B$28:B310)+1))</f>
        <v/>
      </c>
      <c r="C311" s="106">
        <f t="shared" si="49"/>
        <v>50617</v>
      </c>
      <c r="D311" s="795">
        <f t="shared" si="44"/>
        <v>0</v>
      </c>
      <c r="E311" s="795" t="str">
        <f>IF($A311="","",IF($A311=1,D$29*$F311*($C311-$C$28)/$K$17,
(D311*ROUND(($C311-VLOOKUP($A311-1,$A$28:$C311,3,0))/30,0)/12*$F311)
))</f>
        <v/>
      </c>
      <c r="F311" s="107">
        <f t="shared" si="45"/>
        <v>0.06</v>
      </c>
      <c r="G311" s="795">
        <f t="shared" si="41"/>
        <v>0</v>
      </c>
      <c r="H311" s="795">
        <f t="shared" si="46"/>
        <v>0</v>
      </c>
      <c r="I311" s="795">
        <f t="shared" si="47"/>
        <v>0</v>
      </c>
      <c r="J311" s="795">
        <f t="shared" si="48"/>
        <v>0</v>
      </c>
      <c r="K311" s="108">
        <f t="shared" si="42"/>
        <v>2038</v>
      </c>
      <c r="L311" s="646" t="str">
        <f t="shared" si="43"/>
        <v/>
      </c>
    </row>
    <row r="312" spans="1:12" ht="12.75" customHeight="1">
      <c r="A312" s="645" t="str">
        <f>IF(B312&lt;&gt;"",MAX(A$28:A311)+1,IF(ISNA(HLOOKUP(DATE(YEAR($C$21),MONTH(C312),DAY(C312)),$C$21:$N$21,1,0)),"",MAX(A$28:A311)+1))</f>
        <v/>
      </c>
      <c r="B312" s="91" t="str">
        <f>IF(C312&lt;$K$16,"",IF(ISNA(HLOOKUP(DATE(YEAR($C$20),MONTH($C312),DAY($C312)),$C$20:$N$20,1,0)),"",MAX(B$28:B311)+1))</f>
        <v/>
      </c>
      <c r="C312" s="106">
        <f t="shared" si="49"/>
        <v>50648</v>
      </c>
      <c r="D312" s="795">
        <f t="shared" si="44"/>
        <v>0</v>
      </c>
      <c r="E312" s="795" t="str">
        <f>IF($A312="","",IF($A312=1,D$29*$F312*($C312-$C$28)/$K$17,
(D312*ROUND(($C312-VLOOKUP($A312-1,$A$28:$C312,3,0))/30,0)/12*$F312)
))</f>
        <v/>
      </c>
      <c r="F312" s="107">
        <f t="shared" si="45"/>
        <v>0.06</v>
      </c>
      <c r="G312" s="795">
        <f t="shared" si="41"/>
        <v>0</v>
      </c>
      <c r="H312" s="795">
        <f t="shared" si="46"/>
        <v>0</v>
      </c>
      <c r="I312" s="795">
        <f t="shared" si="47"/>
        <v>0</v>
      </c>
      <c r="J312" s="795">
        <f t="shared" si="48"/>
        <v>0</v>
      </c>
      <c r="K312" s="108">
        <f t="shared" si="42"/>
        <v>2038</v>
      </c>
      <c r="L312" s="646" t="str">
        <f t="shared" si="43"/>
        <v/>
      </c>
    </row>
    <row r="313" spans="1:12" ht="12.75" customHeight="1">
      <c r="A313" s="645">
        <f>IF(B313&lt;&gt;"",MAX(A$28:A312)+1,IF(ISNA(HLOOKUP(DATE(YEAR($C$21),MONTH(C313),DAY(C313)),$C$21:$N$21,1,0)),"",MAX(A$28:A312)+1))</f>
        <v>95</v>
      </c>
      <c r="B313" s="91">
        <f>IF(C313&lt;$K$16,"",IF(ISNA(HLOOKUP(DATE(YEAR($C$20),MONTH($C313),DAY($C313)),$C$20:$N$20,1,0)),"",MAX(B$28:B312)+1))</f>
        <v>83</v>
      </c>
      <c r="C313" s="106">
        <f t="shared" si="49"/>
        <v>50678</v>
      </c>
      <c r="D313" s="795">
        <f t="shared" si="44"/>
        <v>0</v>
      </c>
      <c r="E313" s="795">
        <f>IF($A313="","",IF($A313=1,D$29*$F313*($C313-$C$28)/$K$17,
(D313*ROUND(($C313-VLOOKUP($A313-1,$A$28:$C313,3,0))/30,0)/12*$F313)
))</f>
        <v>0</v>
      </c>
      <c r="F313" s="107">
        <f t="shared" si="45"/>
        <v>0.06</v>
      </c>
      <c r="G313" s="795">
        <f t="shared" si="41"/>
        <v>0</v>
      </c>
      <c r="H313" s="795">
        <f t="shared" si="46"/>
        <v>0</v>
      </c>
      <c r="I313" s="795">
        <f t="shared" si="47"/>
        <v>0</v>
      </c>
      <c r="J313" s="795">
        <f t="shared" si="48"/>
        <v>0</v>
      </c>
      <c r="K313" s="108">
        <f t="shared" si="42"/>
        <v>2038</v>
      </c>
      <c r="L313" s="646" t="str">
        <f t="shared" si="43"/>
        <v/>
      </c>
    </row>
    <row r="314" spans="1:12" ht="12.75" customHeight="1">
      <c r="A314" s="645" t="str">
        <f>IF(B314&lt;&gt;"",MAX(A$28:A313)+1,IF(ISNA(HLOOKUP(DATE(YEAR($C$21),MONTH(C314),DAY(C314)),$C$21:$N$21,1,0)),"",MAX(A$28:A313)+1))</f>
        <v/>
      </c>
      <c r="B314" s="91" t="str">
        <f>IF(C314&lt;$K$16,"",IF(ISNA(HLOOKUP(DATE(YEAR($C$20),MONTH($C314),DAY($C314)),$C$20:$N$20,1,0)),"",MAX(B$28:B313)+1))</f>
        <v/>
      </c>
      <c r="C314" s="106">
        <f t="shared" si="49"/>
        <v>50709</v>
      </c>
      <c r="D314" s="795">
        <f t="shared" si="44"/>
        <v>0</v>
      </c>
      <c r="E314" s="795" t="str">
        <f>IF($A314="","",IF($A314=1,D$29*$F314*($C314-$C$28)/$K$17,
(D314*ROUND(($C314-VLOOKUP($A314-1,$A$28:$C314,3,0))/30,0)/12*$F314)
))</f>
        <v/>
      </c>
      <c r="F314" s="107">
        <f t="shared" si="45"/>
        <v>0.06</v>
      </c>
      <c r="G314" s="795">
        <f t="shared" si="41"/>
        <v>0</v>
      </c>
      <c r="H314" s="795">
        <f t="shared" si="46"/>
        <v>0</v>
      </c>
      <c r="I314" s="795">
        <f t="shared" si="47"/>
        <v>0</v>
      </c>
      <c r="J314" s="795">
        <f t="shared" si="48"/>
        <v>0</v>
      </c>
      <c r="K314" s="108">
        <f t="shared" si="42"/>
        <v>2038</v>
      </c>
      <c r="L314" s="646" t="str">
        <f t="shared" si="43"/>
        <v/>
      </c>
    </row>
    <row r="315" spans="1:12" ht="12.75" customHeight="1">
      <c r="A315" s="645" t="str">
        <f>IF(B315&lt;&gt;"",MAX(A$28:A314)+1,IF(ISNA(HLOOKUP(DATE(YEAR($C$21),MONTH(C315),DAY(C315)),$C$21:$N$21,1,0)),"",MAX(A$28:A314)+1))</f>
        <v/>
      </c>
      <c r="B315" s="91" t="str">
        <f>IF(C315&lt;$K$16,"",IF(ISNA(HLOOKUP(DATE(YEAR($C$20),MONTH($C315),DAY($C315)),$C$20:$N$20,1,0)),"",MAX(B$28:B314)+1))</f>
        <v/>
      </c>
      <c r="C315" s="106">
        <f t="shared" si="49"/>
        <v>50739</v>
      </c>
      <c r="D315" s="795">
        <f t="shared" si="44"/>
        <v>0</v>
      </c>
      <c r="E315" s="795" t="str">
        <f>IF($A315="","",IF($A315=1,D$29*$F315*($C315-$C$28)/$K$17,
(D315*ROUND(($C315-VLOOKUP($A315-1,$A$28:$C315,3,0))/30,0)/12*$F315)
))</f>
        <v/>
      </c>
      <c r="F315" s="107">
        <f t="shared" si="45"/>
        <v>0.06</v>
      </c>
      <c r="G315" s="795">
        <f t="shared" si="41"/>
        <v>0</v>
      </c>
      <c r="H315" s="795">
        <f t="shared" si="46"/>
        <v>0</v>
      </c>
      <c r="I315" s="795">
        <f t="shared" si="47"/>
        <v>0</v>
      </c>
      <c r="J315" s="795">
        <f t="shared" si="48"/>
        <v>0</v>
      </c>
      <c r="K315" s="108">
        <f t="shared" si="42"/>
        <v>2038</v>
      </c>
      <c r="L315" s="646" t="str">
        <f t="shared" si="43"/>
        <v/>
      </c>
    </row>
    <row r="316" spans="1:12" ht="12.75" customHeight="1">
      <c r="A316" s="645">
        <f>IF(B316&lt;&gt;"",MAX(A$28:A315)+1,IF(ISNA(HLOOKUP(DATE(YEAR($C$21),MONTH(C316),DAY(C316)),$C$21:$N$21,1,0)),"",MAX(A$28:A315)+1))</f>
        <v>96</v>
      </c>
      <c r="B316" s="91">
        <f>IF(C316&lt;$K$16,"",IF(ISNA(HLOOKUP(DATE(YEAR($C$20),MONTH($C316),DAY($C316)),$C$20:$N$20,1,0)),"",MAX(B$28:B315)+1))</f>
        <v>84</v>
      </c>
      <c r="C316" s="106">
        <f t="shared" si="49"/>
        <v>50770</v>
      </c>
      <c r="D316" s="795">
        <f t="shared" si="44"/>
        <v>0</v>
      </c>
      <c r="E316" s="795">
        <f>IF($A316="","",IF($A316=1,D$29*$F316*($C316-$C$28)/$K$17,
(D316*ROUND(($C316-VLOOKUP($A316-1,$A$28:$C316,3,0))/30,0)/12*$F316)
))</f>
        <v>0</v>
      </c>
      <c r="F316" s="107">
        <f t="shared" si="45"/>
        <v>0.06</v>
      </c>
      <c r="G316" s="795">
        <f t="shared" si="41"/>
        <v>0</v>
      </c>
      <c r="H316" s="795">
        <f t="shared" si="46"/>
        <v>0</v>
      </c>
      <c r="I316" s="795">
        <f t="shared" si="47"/>
        <v>0</v>
      </c>
      <c r="J316" s="795">
        <f t="shared" si="48"/>
        <v>0</v>
      </c>
      <c r="K316" s="108">
        <f t="shared" si="42"/>
        <v>2038</v>
      </c>
      <c r="L316" s="646" t="str">
        <f t="shared" si="43"/>
        <v/>
      </c>
    </row>
    <row r="317" spans="1:12" ht="12.75" customHeight="1">
      <c r="A317" s="645" t="str">
        <f>IF(B317&lt;&gt;"",MAX(A$28:A316)+1,IF(ISNA(HLOOKUP(DATE(YEAR($C$21),MONTH(C317),DAY(C317)),$C$21:$N$21,1,0)),"",MAX(A$28:A316)+1))</f>
        <v/>
      </c>
      <c r="B317" s="91" t="str">
        <f>IF(C317&lt;$K$16,"",IF(ISNA(HLOOKUP(DATE(YEAR($C$20),MONTH($C317),DAY($C317)),$C$20:$N$20,1,0)),"",MAX(B$28:B316)+1))</f>
        <v/>
      </c>
      <c r="C317" s="106">
        <f t="shared" si="49"/>
        <v>50801</v>
      </c>
      <c r="D317" s="795">
        <f t="shared" si="44"/>
        <v>0</v>
      </c>
      <c r="E317" s="795" t="str">
        <f>IF($A317="","",IF($A317=1,D$29*$F317*($C317-$C$28)/$K$17,
(D317*ROUND(($C317-VLOOKUP($A317-1,$A$28:$C317,3,0))/30,0)/12*$F317)
))</f>
        <v/>
      </c>
      <c r="F317" s="107">
        <f t="shared" si="45"/>
        <v>0.06</v>
      </c>
      <c r="G317" s="795">
        <f t="shared" si="41"/>
        <v>0</v>
      </c>
      <c r="H317" s="795">
        <f t="shared" si="46"/>
        <v>0</v>
      </c>
      <c r="I317" s="795">
        <f t="shared" si="47"/>
        <v>0</v>
      </c>
      <c r="J317" s="795">
        <f t="shared" si="48"/>
        <v>0</v>
      </c>
      <c r="K317" s="108">
        <f t="shared" si="42"/>
        <v>2039</v>
      </c>
      <c r="L317" s="646" t="str">
        <f t="shared" si="43"/>
        <v/>
      </c>
    </row>
    <row r="318" spans="1:12" ht="12.75" customHeight="1">
      <c r="A318" s="645" t="str">
        <f>IF(B318&lt;&gt;"",MAX(A$28:A317)+1,IF(ISNA(HLOOKUP(DATE(YEAR($C$21),MONTH(C318),DAY(C318)),$C$21:$N$21,1,0)),"",MAX(A$28:A317)+1))</f>
        <v/>
      </c>
      <c r="B318" s="91" t="str">
        <f>IF(C318&lt;$K$16,"",IF(ISNA(HLOOKUP(DATE(YEAR($C$20),MONTH($C318),DAY($C318)),$C$20:$N$20,1,0)),"",MAX(B$28:B317)+1))</f>
        <v/>
      </c>
      <c r="C318" s="106">
        <f t="shared" si="49"/>
        <v>50829</v>
      </c>
      <c r="D318" s="795">
        <f t="shared" si="44"/>
        <v>0</v>
      </c>
      <c r="E318" s="795" t="str">
        <f>IF($A318="","",IF($A318=1,D$29*$F318*($C318-$C$28)/$K$17,
(D318*ROUND(($C318-VLOOKUP($A318-1,$A$28:$C318,3,0))/30,0)/12*$F318)
))</f>
        <v/>
      </c>
      <c r="F318" s="107">
        <f t="shared" si="45"/>
        <v>0.06</v>
      </c>
      <c r="G318" s="795">
        <f t="shared" si="41"/>
        <v>0</v>
      </c>
      <c r="H318" s="795">
        <f t="shared" si="46"/>
        <v>0</v>
      </c>
      <c r="I318" s="795">
        <f t="shared" si="47"/>
        <v>0</v>
      </c>
      <c r="J318" s="795">
        <f t="shared" si="48"/>
        <v>0</v>
      </c>
      <c r="K318" s="108">
        <f t="shared" si="42"/>
        <v>2039</v>
      </c>
      <c r="L318" s="646" t="str">
        <f t="shared" si="43"/>
        <v/>
      </c>
    </row>
    <row r="319" spans="1:12" ht="12.75" customHeight="1">
      <c r="A319" s="645">
        <f>IF(B319&lt;&gt;"",MAX(A$28:A318)+1,IF(ISNA(HLOOKUP(DATE(YEAR($C$21),MONTH(C319),DAY(C319)),$C$21:$N$21,1,0)),"",MAX(A$28:A318)+1))</f>
        <v>97</v>
      </c>
      <c r="B319" s="91">
        <f>IF(C319&lt;$K$16,"",IF(ISNA(HLOOKUP(DATE(YEAR($C$20),MONTH($C319),DAY($C319)),$C$20:$N$20,1,0)),"",MAX(B$28:B318)+1))</f>
        <v>85</v>
      </c>
      <c r="C319" s="106">
        <f t="shared" si="49"/>
        <v>50860</v>
      </c>
      <c r="D319" s="795">
        <f t="shared" si="44"/>
        <v>0</v>
      </c>
      <c r="E319" s="795">
        <f>IF($A319="","",IF($A319=1,D$29*$F319*($C319-$C$28)/$K$17,
(D319*ROUND(($C319-VLOOKUP($A319-1,$A$28:$C319,3,0))/30,0)/12*$F319)
))</f>
        <v>0</v>
      </c>
      <c r="F319" s="107">
        <f t="shared" si="45"/>
        <v>0.06</v>
      </c>
      <c r="G319" s="795">
        <f t="shared" si="41"/>
        <v>0</v>
      </c>
      <c r="H319" s="795">
        <f t="shared" si="46"/>
        <v>0</v>
      </c>
      <c r="I319" s="795">
        <f t="shared" si="47"/>
        <v>0</v>
      </c>
      <c r="J319" s="795">
        <f t="shared" si="48"/>
        <v>0</v>
      </c>
      <c r="K319" s="108">
        <f t="shared" si="42"/>
        <v>2039</v>
      </c>
      <c r="L319" s="646" t="str">
        <f t="shared" si="43"/>
        <v/>
      </c>
    </row>
    <row r="320" spans="1:12" ht="12.75" customHeight="1">
      <c r="A320" s="645" t="str">
        <f>IF(B320&lt;&gt;"",MAX(A$28:A319)+1,IF(ISNA(HLOOKUP(DATE(YEAR($C$21),MONTH(C320),DAY(C320)),$C$21:$N$21,1,0)),"",MAX(A$28:A319)+1))</f>
        <v/>
      </c>
      <c r="B320" s="91" t="str">
        <f>IF(C320&lt;$K$16,"",IF(ISNA(HLOOKUP(DATE(YEAR($C$20),MONTH($C320),DAY($C320)),$C$20:$N$20,1,0)),"",MAX(B$28:B319)+1))</f>
        <v/>
      </c>
      <c r="C320" s="106">
        <f t="shared" si="49"/>
        <v>50890</v>
      </c>
      <c r="D320" s="795">
        <f t="shared" si="44"/>
        <v>0</v>
      </c>
      <c r="E320" s="795" t="str">
        <f>IF($A320="","",IF($A320=1,D$29*$F320*($C320-$C$28)/$K$17,
(D320*ROUND(($C320-VLOOKUP($A320-1,$A$28:$C320,3,0))/30,0)/12*$F320)
))</f>
        <v/>
      </c>
      <c r="F320" s="107">
        <f t="shared" si="45"/>
        <v>0.06</v>
      </c>
      <c r="G320" s="795">
        <f t="shared" si="41"/>
        <v>0</v>
      </c>
      <c r="H320" s="795">
        <f t="shared" si="46"/>
        <v>0</v>
      </c>
      <c r="I320" s="795">
        <f t="shared" si="47"/>
        <v>0</v>
      </c>
      <c r="J320" s="795">
        <f t="shared" si="48"/>
        <v>0</v>
      </c>
      <c r="K320" s="108">
        <f t="shared" si="42"/>
        <v>2039</v>
      </c>
      <c r="L320" s="646" t="str">
        <f t="shared" si="43"/>
        <v/>
      </c>
    </row>
    <row r="321" spans="1:12" ht="12.75" customHeight="1">
      <c r="A321" s="645" t="str">
        <f>IF(B321&lt;&gt;"",MAX(A$28:A320)+1,IF(ISNA(HLOOKUP(DATE(YEAR($C$21),MONTH(C321),DAY(C321)),$C$21:$N$21,1,0)),"",MAX(A$28:A320)+1))</f>
        <v/>
      </c>
      <c r="B321" s="91" t="str">
        <f>IF(C321&lt;$K$16,"",IF(ISNA(HLOOKUP(DATE(YEAR($C$20),MONTH($C321),DAY($C321)),$C$20:$N$20,1,0)),"",MAX(B$28:B320)+1))</f>
        <v/>
      </c>
      <c r="C321" s="106">
        <f t="shared" si="49"/>
        <v>50921</v>
      </c>
      <c r="D321" s="795">
        <f t="shared" si="44"/>
        <v>0</v>
      </c>
      <c r="E321" s="795" t="str">
        <f>IF($A321="","",IF($A321=1,D$29*$F321*($C321-$C$28)/$K$17,
(D321*ROUND(($C321-VLOOKUP($A321-1,$A$28:$C321,3,0))/30,0)/12*$F321)
))</f>
        <v/>
      </c>
      <c r="F321" s="107">
        <f t="shared" si="45"/>
        <v>0.06</v>
      </c>
      <c r="G321" s="795">
        <f t="shared" si="41"/>
        <v>0</v>
      </c>
      <c r="H321" s="795">
        <f t="shared" si="46"/>
        <v>0</v>
      </c>
      <c r="I321" s="795">
        <f t="shared" si="47"/>
        <v>0</v>
      </c>
      <c r="J321" s="795">
        <f t="shared" si="48"/>
        <v>0</v>
      </c>
      <c r="K321" s="108">
        <f t="shared" si="42"/>
        <v>2039</v>
      </c>
      <c r="L321" s="646" t="str">
        <f t="shared" si="43"/>
        <v/>
      </c>
    </row>
    <row r="322" spans="1:12" ht="12.75" customHeight="1">
      <c r="A322" s="645">
        <f>IF(B322&lt;&gt;"",MAX(A$28:A321)+1,IF(ISNA(HLOOKUP(DATE(YEAR($C$21),MONTH(C322),DAY(C322)),$C$21:$N$21,1,0)),"",MAX(A$28:A321)+1))</f>
        <v>98</v>
      </c>
      <c r="B322" s="91">
        <f>IF(C322&lt;$K$16,"",IF(ISNA(HLOOKUP(DATE(YEAR($C$20),MONTH($C322),DAY($C322)),$C$20:$N$20,1,0)),"",MAX(B$28:B321)+1))</f>
        <v>86</v>
      </c>
      <c r="C322" s="106">
        <f t="shared" si="49"/>
        <v>50951</v>
      </c>
      <c r="D322" s="795">
        <f t="shared" si="44"/>
        <v>0</v>
      </c>
      <c r="E322" s="795">
        <f>IF($A322="","",IF($A322=1,D$29*$F322*($C322-$C$28)/$K$17,
(D322*ROUND(($C322-VLOOKUP($A322-1,$A$28:$C322,3,0))/30,0)/12*$F322)
))</f>
        <v>0</v>
      </c>
      <c r="F322" s="107">
        <f t="shared" si="45"/>
        <v>0.06</v>
      </c>
      <c r="G322" s="795">
        <f t="shared" si="41"/>
        <v>0</v>
      </c>
      <c r="H322" s="795">
        <f t="shared" si="46"/>
        <v>0</v>
      </c>
      <c r="I322" s="795">
        <f t="shared" si="47"/>
        <v>0</v>
      </c>
      <c r="J322" s="795">
        <f t="shared" si="48"/>
        <v>0</v>
      </c>
      <c r="K322" s="108">
        <f t="shared" si="42"/>
        <v>2039</v>
      </c>
      <c r="L322" s="646" t="str">
        <f t="shared" si="43"/>
        <v/>
      </c>
    </row>
    <row r="323" spans="1:12" ht="12.75" customHeight="1">
      <c r="A323" s="645" t="str">
        <f>IF(B323&lt;&gt;"",MAX(A$28:A322)+1,IF(ISNA(HLOOKUP(DATE(YEAR($C$21),MONTH(C323),DAY(C323)),$C$21:$N$21,1,0)),"",MAX(A$28:A322)+1))</f>
        <v/>
      </c>
      <c r="B323" s="91" t="str">
        <f>IF(C323&lt;$K$16,"",IF(ISNA(HLOOKUP(DATE(YEAR($C$20),MONTH($C323),DAY($C323)),$C$20:$N$20,1,0)),"",MAX(B$28:B322)+1))</f>
        <v/>
      </c>
      <c r="C323" s="106">
        <f t="shared" si="49"/>
        <v>50982</v>
      </c>
      <c r="D323" s="795">
        <f t="shared" si="44"/>
        <v>0</v>
      </c>
      <c r="E323" s="795" t="str">
        <f>IF($A323="","",IF($A323=1,D$29*$F323*($C323-$C$28)/$K$17,
(D323*ROUND(($C323-VLOOKUP($A323-1,$A$28:$C323,3,0))/30,0)/12*$F323)
))</f>
        <v/>
      </c>
      <c r="F323" s="107">
        <f t="shared" si="45"/>
        <v>0.06</v>
      </c>
      <c r="G323" s="795">
        <f t="shared" si="41"/>
        <v>0</v>
      </c>
      <c r="H323" s="795">
        <f t="shared" si="46"/>
        <v>0</v>
      </c>
      <c r="I323" s="795">
        <f t="shared" si="47"/>
        <v>0</v>
      </c>
      <c r="J323" s="795">
        <f t="shared" si="48"/>
        <v>0</v>
      </c>
      <c r="K323" s="108">
        <f t="shared" si="42"/>
        <v>2039</v>
      </c>
      <c r="L323" s="646" t="str">
        <f t="shared" si="43"/>
        <v/>
      </c>
    </row>
    <row r="324" spans="1:12" ht="12.75" customHeight="1">
      <c r="A324" s="645" t="str">
        <f>IF(B324&lt;&gt;"",MAX(A$28:A323)+1,IF(ISNA(HLOOKUP(DATE(YEAR($C$21),MONTH(C324),DAY(C324)),$C$21:$N$21,1,0)),"",MAX(A$28:A323)+1))</f>
        <v/>
      </c>
      <c r="B324" s="91" t="str">
        <f>IF(C324&lt;$K$16,"",IF(ISNA(HLOOKUP(DATE(YEAR($C$20),MONTH($C324),DAY($C324)),$C$20:$N$20,1,0)),"",MAX(B$28:B323)+1))</f>
        <v/>
      </c>
      <c r="C324" s="106">
        <f t="shared" si="49"/>
        <v>51013</v>
      </c>
      <c r="D324" s="795">
        <f t="shared" si="44"/>
        <v>0</v>
      </c>
      <c r="E324" s="795" t="str">
        <f>IF($A324="","",IF($A324=1,D$29*$F324*($C324-$C$28)/$K$17,
(D324*ROUND(($C324-VLOOKUP($A324-1,$A$28:$C324,3,0))/30,0)/12*$F324)
))</f>
        <v/>
      </c>
      <c r="F324" s="107">
        <f t="shared" si="45"/>
        <v>0.06</v>
      </c>
      <c r="G324" s="795">
        <f t="shared" si="41"/>
        <v>0</v>
      </c>
      <c r="H324" s="795">
        <f t="shared" si="46"/>
        <v>0</v>
      </c>
      <c r="I324" s="795">
        <f t="shared" si="47"/>
        <v>0</v>
      </c>
      <c r="J324" s="795">
        <f t="shared" si="48"/>
        <v>0</v>
      </c>
      <c r="K324" s="108">
        <f t="shared" si="42"/>
        <v>2039</v>
      </c>
      <c r="L324" s="646" t="str">
        <f t="shared" si="43"/>
        <v/>
      </c>
    </row>
    <row r="325" spans="1:12" ht="12.75" customHeight="1">
      <c r="A325" s="645">
        <f>IF(B325&lt;&gt;"",MAX(A$28:A324)+1,IF(ISNA(HLOOKUP(DATE(YEAR($C$21),MONTH(C325),DAY(C325)),$C$21:$N$21,1,0)),"",MAX(A$28:A324)+1))</f>
        <v>99</v>
      </c>
      <c r="B325" s="91">
        <f>IF(C325&lt;$K$16,"",IF(ISNA(HLOOKUP(DATE(YEAR($C$20),MONTH($C325),DAY($C325)),$C$20:$N$20,1,0)),"",MAX(B$28:B324)+1))</f>
        <v>87</v>
      </c>
      <c r="C325" s="106">
        <f t="shared" si="49"/>
        <v>51043</v>
      </c>
      <c r="D325" s="795">
        <f t="shared" si="44"/>
        <v>0</v>
      </c>
      <c r="E325" s="795">
        <f>IF($A325="","",IF($A325=1,D$29*$F325*($C325-$C$28)/$K$17,
(D325*ROUND(($C325-VLOOKUP($A325-1,$A$28:$C325,3,0))/30,0)/12*$F325)
))</f>
        <v>0</v>
      </c>
      <c r="F325" s="107">
        <f t="shared" si="45"/>
        <v>0.06</v>
      </c>
      <c r="G325" s="795">
        <f t="shared" si="41"/>
        <v>0</v>
      </c>
      <c r="H325" s="795">
        <f t="shared" si="46"/>
        <v>0</v>
      </c>
      <c r="I325" s="795">
        <f t="shared" si="47"/>
        <v>0</v>
      </c>
      <c r="J325" s="795">
        <f t="shared" si="48"/>
        <v>0</v>
      </c>
      <c r="K325" s="108">
        <f t="shared" si="42"/>
        <v>2039</v>
      </c>
      <c r="L325" s="646" t="str">
        <f t="shared" si="43"/>
        <v/>
      </c>
    </row>
    <row r="326" spans="1:12" ht="12.75" customHeight="1">
      <c r="A326" s="645" t="str">
        <f>IF(B326&lt;&gt;"",MAX(A$28:A325)+1,IF(ISNA(HLOOKUP(DATE(YEAR($C$21),MONTH(C326),DAY(C326)),$C$21:$N$21,1,0)),"",MAX(A$28:A325)+1))</f>
        <v/>
      </c>
      <c r="B326" s="91" t="str">
        <f>IF(C326&lt;$K$16,"",IF(ISNA(HLOOKUP(DATE(YEAR($C$20),MONTH($C326),DAY($C326)),$C$20:$N$20,1,0)),"",MAX(B$28:B325)+1))</f>
        <v/>
      </c>
      <c r="C326" s="106">
        <f t="shared" si="49"/>
        <v>51074</v>
      </c>
      <c r="D326" s="795">
        <f t="shared" si="44"/>
        <v>0</v>
      </c>
      <c r="E326" s="795" t="str">
        <f>IF($A326="","",IF($A326=1,D$29*$F326*($C326-$C$28)/$K$17,
(D326*ROUND(($C326-VLOOKUP($A326-1,$A$28:$C326,3,0))/30,0)/12*$F326)
))</f>
        <v/>
      </c>
      <c r="F326" s="107">
        <f t="shared" si="45"/>
        <v>0.06</v>
      </c>
      <c r="G326" s="795">
        <f t="shared" si="41"/>
        <v>0</v>
      </c>
      <c r="H326" s="795">
        <f t="shared" si="46"/>
        <v>0</v>
      </c>
      <c r="I326" s="795">
        <f t="shared" si="47"/>
        <v>0</v>
      </c>
      <c r="J326" s="795">
        <f t="shared" si="48"/>
        <v>0</v>
      </c>
      <c r="K326" s="108">
        <f t="shared" si="42"/>
        <v>2039</v>
      </c>
      <c r="L326" s="646" t="str">
        <f t="shared" si="43"/>
        <v/>
      </c>
    </row>
    <row r="327" spans="1:12" ht="12.75" customHeight="1">
      <c r="A327" s="645" t="str">
        <f>IF(B327&lt;&gt;"",MAX(A$28:A326)+1,IF(ISNA(HLOOKUP(DATE(YEAR($C$21),MONTH(C327),DAY(C327)),$C$21:$N$21,1,0)),"",MAX(A$28:A326)+1))</f>
        <v/>
      </c>
      <c r="B327" s="91" t="str">
        <f>IF(C327&lt;$K$16,"",IF(ISNA(HLOOKUP(DATE(YEAR($C$20),MONTH($C327),DAY($C327)),$C$20:$N$20,1,0)),"",MAX(B$28:B326)+1))</f>
        <v/>
      </c>
      <c r="C327" s="106">
        <f t="shared" si="49"/>
        <v>51104</v>
      </c>
      <c r="D327" s="795">
        <f t="shared" si="44"/>
        <v>0</v>
      </c>
      <c r="E327" s="795" t="str">
        <f>IF($A327="","",IF($A327=1,D$29*$F327*($C327-$C$28)/$K$17,
(D327*ROUND(($C327-VLOOKUP($A327-1,$A$28:$C327,3,0))/30,0)/12*$F327)
))</f>
        <v/>
      </c>
      <c r="F327" s="107">
        <f t="shared" si="45"/>
        <v>0.06</v>
      </c>
      <c r="G327" s="795">
        <f t="shared" si="41"/>
        <v>0</v>
      </c>
      <c r="H327" s="795">
        <f t="shared" si="46"/>
        <v>0</v>
      </c>
      <c r="I327" s="795">
        <f t="shared" si="47"/>
        <v>0</v>
      </c>
      <c r="J327" s="795">
        <f t="shared" si="48"/>
        <v>0</v>
      </c>
      <c r="K327" s="108">
        <f t="shared" si="42"/>
        <v>2039</v>
      </c>
      <c r="L327" s="646" t="str">
        <f t="shared" si="43"/>
        <v/>
      </c>
    </row>
    <row r="328" spans="1:12" ht="12.75" customHeight="1">
      <c r="A328" s="645">
        <f>IF(B328&lt;&gt;"",MAX(A$28:A327)+1,IF(ISNA(HLOOKUP(DATE(YEAR($C$21),MONTH(C328),DAY(C328)),$C$21:$N$21,1,0)),"",MAX(A$28:A327)+1))</f>
        <v>100</v>
      </c>
      <c r="B328" s="91">
        <f>IF(C328&lt;$K$16,"",IF(ISNA(HLOOKUP(DATE(YEAR($C$20),MONTH($C328),DAY($C328)),$C$20:$N$20,1,0)),"",MAX(B$28:B327)+1))</f>
        <v>88</v>
      </c>
      <c r="C328" s="106">
        <f t="shared" si="49"/>
        <v>51135</v>
      </c>
      <c r="D328" s="795">
        <f t="shared" si="44"/>
        <v>0</v>
      </c>
      <c r="E328" s="795">
        <f>IF($A328="","",IF($A328=1,D$29*$F328*($C328-$C$28)/$K$17,
(D328*ROUND(($C328-VLOOKUP($A328-1,$A$28:$C328,3,0))/30,0)/12*$F328)
))</f>
        <v>0</v>
      </c>
      <c r="F328" s="107">
        <f t="shared" si="45"/>
        <v>0.06</v>
      </c>
      <c r="G328" s="795">
        <f t="shared" si="41"/>
        <v>0</v>
      </c>
      <c r="H328" s="795">
        <f t="shared" si="46"/>
        <v>0</v>
      </c>
      <c r="I328" s="795">
        <f t="shared" si="47"/>
        <v>0</v>
      </c>
      <c r="J328" s="795">
        <f t="shared" si="48"/>
        <v>0</v>
      </c>
      <c r="K328" s="108">
        <f t="shared" si="42"/>
        <v>2039</v>
      </c>
      <c r="L328" s="646" t="str">
        <f t="shared" si="43"/>
        <v/>
      </c>
    </row>
    <row r="329" spans="1:12" ht="12.75" customHeight="1">
      <c r="A329" s="645" t="str">
        <f>IF(B329&lt;&gt;"",MAX(A$28:A328)+1,IF(ISNA(HLOOKUP(DATE(YEAR($C$21),MONTH(C329),DAY(C329)),$C$21:$N$21,1,0)),"",MAX(A$28:A328)+1))</f>
        <v/>
      </c>
      <c r="B329" s="91" t="str">
        <f>IF(C329&lt;$K$16,"",IF(ISNA(HLOOKUP(DATE(YEAR($C$20),MONTH($C329),DAY($C329)),$C$20:$N$20,1,0)),"",MAX(B$28:B328)+1))</f>
        <v/>
      </c>
      <c r="C329" s="106">
        <f t="shared" si="49"/>
        <v>51166</v>
      </c>
      <c r="D329" s="795">
        <f t="shared" si="44"/>
        <v>0</v>
      </c>
      <c r="E329" s="795" t="str">
        <f>IF($A329="","",IF($A329=1,D$29*$F329*($C329-$C$28)/$K$17,
(D329*ROUND(($C329-VLOOKUP($A329-1,$A$28:$C329,3,0))/30,0)/12*$F329)
))</f>
        <v/>
      </c>
      <c r="F329" s="107">
        <f t="shared" si="45"/>
        <v>0.06</v>
      </c>
      <c r="G329" s="795">
        <f t="shared" si="41"/>
        <v>0</v>
      </c>
      <c r="H329" s="795">
        <f t="shared" si="46"/>
        <v>0</v>
      </c>
      <c r="I329" s="795">
        <f t="shared" si="47"/>
        <v>0</v>
      </c>
      <c r="J329" s="795">
        <f t="shared" si="48"/>
        <v>0</v>
      </c>
      <c r="K329" s="108">
        <f t="shared" si="42"/>
        <v>2040</v>
      </c>
      <c r="L329" s="646" t="str">
        <f t="shared" si="43"/>
        <v/>
      </c>
    </row>
    <row r="330" spans="1:12" ht="12.75" customHeight="1">
      <c r="A330" s="645" t="str">
        <f>IF(B330&lt;&gt;"",MAX(A$28:A329)+1,IF(ISNA(HLOOKUP(DATE(YEAR($C$21),MONTH(C330),DAY(C330)),$C$21:$N$21,1,0)),"",MAX(A$28:A329)+1))</f>
        <v/>
      </c>
      <c r="B330" s="91" t="str">
        <f>IF(C330&lt;$K$16,"",IF(ISNA(HLOOKUP(DATE(YEAR($C$20),MONTH($C330),DAY($C330)),$C$20:$N$20,1,0)),"",MAX(B$28:B329)+1))</f>
        <v/>
      </c>
      <c r="C330" s="106">
        <f t="shared" si="49"/>
        <v>51195</v>
      </c>
      <c r="D330" s="795">
        <f t="shared" si="44"/>
        <v>0</v>
      </c>
      <c r="E330" s="795" t="str">
        <f>IF($A330="","",IF($A330=1,D$29*$F330*($C330-$C$28)/$K$17,
(D330*ROUND(($C330-VLOOKUP($A330-1,$A$28:$C330,3,0))/30,0)/12*$F330)
))</f>
        <v/>
      </c>
      <c r="F330" s="107">
        <f t="shared" si="45"/>
        <v>0.06</v>
      </c>
      <c r="G330" s="795">
        <f t="shared" si="41"/>
        <v>0</v>
      </c>
      <c r="H330" s="795">
        <f t="shared" si="46"/>
        <v>0</v>
      </c>
      <c r="I330" s="795">
        <f t="shared" si="47"/>
        <v>0</v>
      </c>
      <c r="J330" s="795">
        <f t="shared" si="48"/>
        <v>0</v>
      </c>
      <c r="K330" s="108">
        <f t="shared" si="42"/>
        <v>2040</v>
      </c>
      <c r="L330" s="646" t="str">
        <f t="shared" si="43"/>
        <v/>
      </c>
    </row>
    <row r="331" spans="1:12" ht="12.75" customHeight="1">
      <c r="A331" s="645">
        <f>IF(B331&lt;&gt;"",MAX(A$28:A330)+1,IF(ISNA(HLOOKUP(DATE(YEAR($C$21),MONTH(C331),DAY(C331)),$C$21:$N$21,1,0)),"",MAX(A$28:A330)+1))</f>
        <v>101</v>
      </c>
      <c r="B331" s="91">
        <f>IF(C331&lt;$K$16,"",IF(ISNA(HLOOKUP(DATE(YEAR($C$20),MONTH($C331),DAY($C331)),$C$20:$N$20,1,0)),"",MAX(B$28:B330)+1))</f>
        <v>89</v>
      </c>
      <c r="C331" s="106">
        <f t="shared" si="49"/>
        <v>51226</v>
      </c>
      <c r="D331" s="795">
        <f t="shared" si="44"/>
        <v>0</v>
      </c>
      <c r="E331" s="795">
        <f>IF($A331="","",IF($A331=1,D$29*$F331*($C331-$C$28)/$K$17,
(D331*ROUND(($C331-VLOOKUP($A331-1,$A$28:$C331,3,0))/30,0)/12*$F331)
))</f>
        <v>0</v>
      </c>
      <c r="F331" s="107">
        <f t="shared" si="45"/>
        <v>0.06</v>
      </c>
      <c r="G331" s="795">
        <f t="shared" si="41"/>
        <v>0</v>
      </c>
      <c r="H331" s="795">
        <f t="shared" si="46"/>
        <v>0</v>
      </c>
      <c r="I331" s="795">
        <f t="shared" si="47"/>
        <v>0</v>
      </c>
      <c r="J331" s="795">
        <f t="shared" si="48"/>
        <v>0</v>
      </c>
      <c r="K331" s="108">
        <f t="shared" si="42"/>
        <v>2040</v>
      </c>
      <c r="L331" s="646" t="str">
        <f t="shared" si="43"/>
        <v/>
      </c>
    </row>
    <row r="332" spans="1:12" ht="12.75" customHeight="1">
      <c r="A332" s="645" t="str">
        <f>IF(B332&lt;&gt;"",MAX(A$28:A331)+1,IF(ISNA(HLOOKUP(DATE(YEAR($C$21),MONTH(C332),DAY(C332)),$C$21:$N$21,1,0)),"",MAX(A$28:A331)+1))</f>
        <v/>
      </c>
      <c r="B332" s="91" t="str">
        <f>IF(C332&lt;$K$16,"",IF(ISNA(HLOOKUP(DATE(YEAR($C$20),MONTH($C332),DAY($C332)),$C$20:$N$20,1,0)),"",MAX(B$28:B331)+1))</f>
        <v/>
      </c>
      <c r="C332" s="106">
        <f t="shared" si="49"/>
        <v>51256</v>
      </c>
      <c r="D332" s="795">
        <f t="shared" si="44"/>
        <v>0</v>
      </c>
      <c r="E332" s="795" t="str">
        <f>IF($A332="","",IF($A332=1,D$29*$F332*($C332-$C$28)/$K$17,
(D332*ROUND(($C332-VLOOKUP($A332-1,$A$28:$C332,3,0))/30,0)/12*$F332)
))</f>
        <v/>
      </c>
      <c r="F332" s="107">
        <f t="shared" si="45"/>
        <v>0.06</v>
      </c>
      <c r="G332" s="795">
        <f t="shared" si="41"/>
        <v>0</v>
      </c>
      <c r="H332" s="795">
        <f t="shared" si="46"/>
        <v>0</v>
      </c>
      <c r="I332" s="795">
        <f t="shared" si="47"/>
        <v>0</v>
      </c>
      <c r="J332" s="795">
        <f t="shared" si="48"/>
        <v>0</v>
      </c>
      <c r="K332" s="108">
        <f t="shared" si="42"/>
        <v>2040</v>
      </c>
      <c r="L332" s="646" t="str">
        <f t="shared" si="43"/>
        <v/>
      </c>
    </row>
    <row r="333" spans="1:12" ht="12.75" customHeight="1">
      <c r="A333" s="645" t="str">
        <f>IF(B333&lt;&gt;"",MAX(A$28:A332)+1,IF(ISNA(HLOOKUP(DATE(YEAR($C$21),MONTH(C333),DAY(C333)),$C$21:$N$21,1,0)),"",MAX(A$28:A332)+1))</f>
        <v/>
      </c>
      <c r="B333" s="91" t="str">
        <f>IF(C333&lt;$K$16,"",IF(ISNA(HLOOKUP(DATE(YEAR($C$20),MONTH($C333),DAY($C333)),$C$20:$N$20,1,0)),"",MAX(B$28:B332)+1))</f>
        <v/>
      </c>
      <c r="C333" s="106">
        <f t="shared" si="49"/>
        <v>51287</v>
      </c>
      <c r="D333" s="795">
        <f t="shared" si="44"/>
        <v>0</v>
      </c>
      <c r="E333" s="795" t="str">
        <f>IF($A333="","",IF($A333=1,D$29*$F333*($C333-$C$28)/$K$17,
(D333*ROUND(($C333-VLOOKUP($A333-1,$A$28:$C333,3,0))/30,0)/12*$F333)
))</f>
        <v/>
      </c>
      <c r="F333" s="107">
        <f t="shared" si="45"/>
        <v>0.06</v>
      </c>
      <c r="G333" s="795">
        <f t="shared" si="41"/>
        <v>0</v>
      </c>
      <c r="H333" s="795">
        <f t="shared" si="46"/>
        <v>0</v>
      </c>
      <c r="I333" s="795">
        <f t="shared" si="47"/>
        <v>0</v>
      </c>
      <c r="J333" s="795">
        <f t="shared" si="48"/>
        <v>0</v>
      </c>
      <c r="K333" s="108">
        <f t="shared" si="42"/>
        <v>2040</v>
      </c>
      <c r="L333" s="646" t="str">
        <f t="shared" si="43"/>
        <v/>
      </c>
    </row>
    <row r="334" spans="1:12" ht="12.75" customHeight="1">
      <c r="A334" s="645">
        <f>IF(B334&lt;&gt;"",MAX(A$28:A333)+1,IF(ISNA(HLOOKUP(DATE(YEAR($C$21),MONTH(C334),DAY(C334)),$C$21:$N$21,1,0)),"",MAX(A$28:A333)+1))</f>
        <v>102</v>
      </c>
      <c r="B334" s="91">
        <f>IF(C334&lt;$K$16,"",IF(ISNA(HLOOKUP(DATE(YEAR($C$20),MONTH($C334),DAY($C334)),$C$20:$N$20,1,0)),"",MAX(B$28:B333)+1))</f>
        <v>90</v>
      </c>
      <c r="C334" s="106">
        <f t="shared" si="49"/>
        <v>51317</v>
      </c>
      <c r="D334" s="795">
        <f t="shared" si="44"/>
        <v>0</v>
      </c>
      <c r="E334" s="795">
        <f>IF($A334="","",IF($A334=1,D$29*$F334*($C334-$C$28)/$K$17,
(D334*ROUND(($C334-VLOOKUP($A334-1,$A$28:$C334,3,0))/30,0)/12*$F334)
))</f>
        <v>0</v>
      </c>
      <c r="F334" s="107">
        <f t="shared" si="45"/>
        <v>0.06</v>
      </c>
      <c r="G334" s="795">
        <f t="shared" si="41"/>
        <v>0</v>
      </c>
      <c r="H334" s="795">
        <f t="shared" si="46"/>
        <v>0</v>
      </c>
      <c r="I334" s="795">
        <f t="shared" si="47"/>
        <v>0</v>
      </c>
      <c r="J334" s="795">
        <f t="shared" si="48"/>
        <v>0</v>
      </c>
      <c r="K334" s="108">
        <f t="shared" si="42"/>
        <v>2040</v>
      </c>
      <c r="L334" s="646" t="str">
        <f t="shared" si="43"/>
        <v/>
      </c>
    </row>
    <row r="335" spans="1:12" ht="12.75" customHeight="1">
      <c r="A335" s="645" t="str">
        <f>IF(B335&lt;&gt;"",MAX(A$28:A334)+1,IF(ISNA(HLOOKUP(DATE(YEAR($C$21),MONTH(C335),DAY(C335)),$C$21:$N$21,1,0)),"",MAX(A$28:A334)+1))</f>
        <v/>
      </c>
      <c r="B335" s="91" t="str">
        <f>IF(C335&lt;$K$16,"",IF(ISNA(HLOOKUP(DATE(YEAR($C$20),MONTH($C335),DAY($C335)),$C$20:$N$20,1,0)),"",MAX(B$28:B334)+1))</f>
        <v/>
      </c>
      <c r="C335" s="106">
        <f t="shared" si="49"/>
        <v>51348</v>
      </c>
      <c r="D335" s="795">
        <f t="shared" si="44"/>
        <v>0</v>
      </c>
      <c r="E335" s="795" t="str">
        <f>IF($A335="","",IF($A335=1,D$29*$F335*($C335-$C$28)/$K$17,
(D335*ROUND(($C335-VLOOKUP($A335-1,$A$28:$C335,3,0))/30,0)/12*$F335)
))</f>
        <v/>
      </c>
      <c r="F335" s="107">
        <f t="shared" si="45"/>
        <v>0.06</v>
      </c>
      <c r="G335" s="795">
        <f t="shared" si="41"/>
        <v>0</v>
      </c>
      <c r="H335" s="795">
        <f t="shared" si="46"/>
        <v>0</v>
      </c>
      <c r="I335" s="795">
        <f t="shared" si="47"/>
        <v>0</v>
      </c>
      <c r="J335" s="795">
        <f t="shared" si="48"/>
        <v>0</v>
      </c>
      <c r="K335" s="108">
        <f t="shared" si="42"/>
        <v>2040</v>
      </c>
      <c r="L335" s="646" t="str">
        <f t="shared" si="43"/>
        <v/>
      </c>
    </row>
    <row r="336" spans="1:12" ht="12.75" customHeight="1">
      <c r="A336" s="645" t="str">
        <f>IF(B336&lt;&gt;"",MAX(A$28:A335)+1,IF(ISNA(HLOOKUP(DATE(YEAR($C$21),MONTH(C336),DAY(C336)),$C$21:$N$21,1,0)),"",MAX(A$28:A335)+1))</f>
        <v/>
      </c>
      <c r="B336" s="91" t="str">
        <f>IF(C336&lt;$K$16,"",IF(ISNA(HLOOKUP(DATE(YEAR($C$20),MONTH($C336),DAY($C336)),$C$20:$N$20,1,0)),"",MAX(B$28:B335)+1))</f>
        <v/>
      </c>
      <c r="C336" s="106">
        <f t="shared" si="49"/>
        <v>51379</v>
      </c>
      <c r="D336" s="795">
        <f t="shared" si="44"/>
        <v>0</v>
      </c>
      <c r="E336" s="795" t="str">
        <f>IF($A336="","",IF($A336=1,D$29*$F336*($C336-$C$28)/$K$17,
(D336*ROUND(($C336-VLOOKUP($A336-1,$A$28:$C336,3,0))/30,0)/12*$F336)
))</f>
        <v/>
      </c>
      <c r="F336" s="107">
        <f t="shared" si="45"/>
        <v>0.06</v>
      </c>
      <c r="G336" s="795">
        <f t="shared" si="41"/>
        <v>0</v>
      </c>
      <c r="H336" s="795">
        <f t="shared" si="46"/>
        <v>0</v>
      </c>
      <c r="I336" s="795">
        <f t="shared" si="47"/>
        <v>0</v>
      </c>
      <c r="J336" s="795">
        <f t="shared" si="48"/>
        <v>0</v>
      </c>
      <c r="K336" s="108">
        <f t="shared" si="42"/>
        <v>2040</v>
      </c>
      <c r="L336" s="646" t="str">
        <f t="shared" si="43"/>
        <v/>
      </c>
    </row>
    <row r="337" spans="1:12" ht="12.75" customHeight="1">
      <c r="A337" s="645">
        <f>IF(B337&lt;&gt;"",MAX(A$28:A336)+1,IF(ISNA(HLOOKUP(DATE(YEAR($C$21),MONTH(C337),DAY(C337)),$C$21:$N$21,1,0)),"",MAX(A$28:A336)+1))</f>
        <v>103</v>
      </c>
      <c r="B337" s="91">
        <f>IF(C337&lt;$K$16,"",IF(ISNA(HLOOKUP(DATE(YEAR($C$20),MONTH($C337),DAY($C337)),$C$20:$N$20,1,0)),"",MAX(B$28:B336)+1))</f>
        <v>91</v>
      </c>
      <c r="C337" s="106">
        <f t="shared" si="49"/>
        <v>51409</v>
      </c>
      <c r="D337" s="795">
        <f t="shared" si="44"/>
        <v>0</v>
      </c>
      <c r="E337" s="795">
        <f>IF($A337="","",IF($A337=1,D$29*$F337*($C337-$C$28)/$K$17,
(D337*ROUND(($C337-VLOOKUP($A337-1,$A$28:$C337,3,0))/30,0)/12*$F337)
))</f>
        <v>0</v>
      </c>
      <c r="F337" s="107">
        <f t="shared" si="45"/>
        <v>0.06</v>
      </c>
      <c r="G337" s="795">
        <f t="shared" si="41"/>
        <v>0</v>
      </c>
      <c r="H337" s="795">
        <f t="shared" si="46"/>
        <v>0</v>
      </c>
      <c r="I337" s="795">
        <f t="shared" si="47"/>
        <v>0</v>
      </c>
      <c r="J337" s="795">
        <f t="shared" si="48"/>
        <v>0</v>
      </c>
      <c r="K337" s="108">
        <f t="shared" si="42"/>
        <v>2040</v>
      </c>
      <c r="L337" s="646" t="str">
        <f t="shared" si="43"/>
        <v/>
      </c>
    </row>
    <row r="338" spans="1:12" ht="12.75" customHeight="1">
      <c r="A338" s="645" t="str">
        <f>IF(B338&lt;&gt;"",MAX(A$28:A337)+1,IF(ISNA(HLOOKUP(DATE(YEAR($C$21),MONTH(C338),DAY(C338)),$C$21:$N$21,1,0)),"",MAX(A$28:A337)+1))</f>
        <v/>
      </c>
      <c r="B338" s="91" t="str">
        <f>IF(C338&lt;$K$16,"",IF(ISNA(HLOOKUP(DATE(YEAR($C$20),MONTH($C338),DAY($C338)),$C$20:$N$20,1,0)),"",MAX(B$28:B337)+1))</f>
        <v/>
      </c>
      <c r="C338" s="106">
        <f t="shared" si="49"/>
        <v>51440</v>
      </c>
      <c r="D338" s="795">
        <f t="shared" si="44"/>
        <v>0</v>
      </c>
      <c r="E338" s="795" t="str">
        <f>IF($A338="","",IF($A338=1,D$29*$F338*($C338-$C$28)/$K$17,
(D338*ROUND(($C338-VLOOKUP($A338-1,$A$28:$C338,3,0))/30,0)/12*$F338)
))</f>
        <v/>
      </c>
      <c r="F338" s="107">
        <f t="shared" si="45"/>
        <v>0.06</v>
      </c>
      <c r="G338" s="795">
        <f t="shared" si="41"/>
        <v>0</v>
      </c>
      <c r="H338" s="795">
        <f t="shared" si="46"/>
        <v>0</v>
      </c>
      <c r="I338" s="795">
        <f t="shared" si="47"/>
        <v>0</v>
      </c>
      <c r="J338" s="795">
        <f t="shared" si="48"/>
        <v>0</v>
      </c>
      <c r="K338" s="108">
        <f t="shared" si="42"/>
        <v>2040</v>
      </c>
      <c r="L338" s="646" t="str">
        <f t="shared" si="43"/>
        <v/>
      </c>
    </row>
    <row r="339" spans="1:12" ht="12.75" customHeight="1">
      <c r="A339" s="645" t="str">
        <f>IF(B339&lt;&gt;"",MAX(A$28:A338)+1,IF(ISNA(HLOOKUP(DATE(YEAR($C$21),MONTH(C339),DAY(C339)),$C$21:$N$21,1,0)),"",MAX(A$28:A338)+1))</f>
        <v/>
      </c>
      <c r="B339" s="91" t="str">
        <f>IF(C339&lt;$K$16,"",IF(ISNA(HLOOKUP(DATE(YEAR($C$20),MONTH($C339),DAY($C339)),$C$20:$N$20,1,0)),"",MAX(B$28:B338)+1))</f>
        <v/>
      </c>
      <c r="C339" s="106">
        <f t="shared" si="49"/>
        <v>51470</v>
      </c>
      <c r="D339" s="795">
        <f t="shared" si="44"/>
        <v>0</v>
      </c>
      <c r="E339" s="795" t="str">
        <f>IF($A339="","",IF($A339=1,D$29*$F339*($C339-$C$28)/$K$17,
(D339*ROUND(($C339-VLOOKUP($A339-1,$A$28:$C339,3,0))/30,0)/12*$F339)
))</f>
        <v/>
      </c>
      <c r="F339" s="107">
        <f t="shared" si="45"/>
        <v>0.06</v>
      </c>
      <c r="G339" s="795">
        <f t="shared" si="41"/>
        <v>0</v>
      </c>
      <c r="H339" s="795">
        <f t="shared" si="46"/>
        <v>0</v>
      </c>
      <c r="I339" s="795">
        <f t="shared" si="47"/>
        <v>0</v>
      </c>
      <c r="J339" s="795">
        <f t="shared" si="48"/>
        <v>0</v>
      </c>
      <c r="K339" s="108">
        <f t="shared" si="42"/>
        <v>2040</v>
      </c>
      <c r="L339" s="646" t="str">
        <f t="shared" si="43"/>
        <v/>
      </c>
    </row>
    <row r="340" spans="1:12" ht="12.75" customHeight="1">
      <c r="A340" s="645">
        <f>IF(B340&lt;&gt;"",MAX(A$28:A339)+1,IF(ISNA(HLOOKUP(DATE(YEAR($C$21),MONTH(C340),DAY(C340)),$C$21:$N$21,1,0)),"",MAX(A$28:A339)+1))</f>
        <v>104</v>
      </c>
      <c r="B340" s="91">
        <f>IF(C340&lt;$K$16,"",IF(ISNA(HLOOKUP(DATE(YEAR($C$20),MONTH($C340),DAY($C340)),$C$20:$N$20,1,0)),"",MAX(B$28:B339)+1))</f>
        <v>92</v>
      </c>
      <c r="C340" s="106">
        <f t="shared" si="49"/>
        <v>51501</v>
      </c>
      <c r="D340" s="795">
        <f t="shared" si="44"/>
        <v>0</v>
      </c>
      <c r="E340" s="795">
        <f>IF($A340="","",IF($A340=1,D$29*$F340*($C340-$C$28)/$K$17,
(D340*ROUND(($C340-VLOOKUP($A340-1,$A$28:$C340,3,0))/30,0)/12*$F340)
))</f>
        <v>0</v>
      </c>
      <c r="F340" s="107">
        <f t="shared" si="45"/>
        <v>0.06</v>
      </c>
      <c r="G340" s="795">
        <f t="shared" si="41"/>
        <v>0</v>
      </c>
      <c r="H340" s="795">
        <f t="shared" si="46"/>
        <v>0</v>
      </c>
      <c r="I340" s="795">
        <f t="shared" si="47"/>
        <v>0</v>
      </c>
      <c r="J340" s="795">
        <f t="shared" si="48"/>
        <v>0</v>
      </c>
      <c r="K340" s="108">
        <f t="shared" si="42"/>
        <v>2040</v>
      </c>
      <c r="L340" s="646" t="str">
        <f t="shared" si="43"/>
        <v/>
      </c>
    </row>
    <row r="341" spans="1:12" ht="12.75" customHeight="1">
      <c r="A341" s="645" t="str">
        <f>IF(B341&lt;&gt;"",MAX(A$28:A340)+1,IF(ISNA(HLOOKUP(DATE(YEAR($C$21),MONTH(C341),DAY(C341)),$C$21:$N$21,1,0)),"",MAX(A$28:A340)+1))</f>
        <v/>
      </c>
      <c r="B341" s="91" t="str">
        <f>IF(C341&lt;$K$16,"",IF(ISNA(HLOOKUP(DATE(YEAR($C$20),MONTH($C341),DAY($C341)),$C$20:$N$20,1,0)),"",MAX(B$28:B340)+1))</f>
        <v/>
      </c>
      <c r="C341" s="106">
        <f t="shared" si="49"/>
        <v>51532</v>
      </c>
      <c r="D341" s="795">
        <f t="shared" si="44"/>
        <v>0</v>
      </c>
      <c r="E341" s="795" t="str">
        <f>IF($A341="","",IF($A341=1,D$29*$F341*($C341-$C$28)/$K$17,
(D341*ROUND(($C341-VLOOKUP($A341-1,$A$28:$C341,3,0))/30,0)/12*$F341)
))</f>
        <v/>
      </c>
      <c r="F341" s="107">
        <f t="shared" si="45"/>
        <v>0.06</v>
      </c>
      <c r="G341" s="795">
        <f t="shared" si="41"/>
        <v>0</v>
      </c>
      <c r="H341" s="795">
        <f t="shared" si="46"/>
        <v>0</v>
      </c>
      <c r="I341" s="795">
        <f t="shared" si="47"/>
        <v>0</v>
      </c>
      <c r="J341" s="795">
        <f t="shared" si="48"/>
        <v>0</v>
      </c>
      <c r="K341" s="108">
        <f t="shared" si="42"/>
        <v>2041</v>
      </c>
      <c r="L341" s="646" t="str">
        <f t="shared" si="43"/>
        <v/>
      </c>
    </row>
    <row r="342" spans="1:12" ht="12.75" customHeight="1">
      <c r="A342" s="645" t="str">
        <f>IF(B342&lt;&gt;"",MAX(A$28:A341)+1,IF(ISNA(HLOOKUP(DATE(YEAR($C$21),MONTH(C342),DAY(C342)),$C$21:$N$21,1,0)),"",MAX(A$28:A341)+1))</f>
        <v/>
      </c>
      <c r="B342" s="91" t="str">
        <f>IF(C342&lt;$K$16,"",IF(ISNA(HLOOKUP(DATE(YEAR($C$20),MONTH($C342),DAY($C342)),$C$20:$N$20,1,0)),"",MAX(B$28:B341)+1))</f>
        <v/>
      </c>
      <c r="C342" s="106">
        <f t="shared" si="49"/>
        <v>51560</v>
      </c>
      <c r="D342" s="795">
        <f t="shared" si="44"/>
        <v>0</v>
      </c>
      <c r="E342" s="795" t="str">
        <f>IF($A342="","",IF($A342=1,D$29*$F342*($C342-$C$28)/$K$17,
(D342*ROUND(($C342-VLOOKUP($A342-1,$A$28:$C342,3,0))/30,0)/12*$F342)
))</f>
        <v/>
      </c>
      <c r="F342" s="107">
        <f t="shared" si="45"/>
        <v>0.06</v>
      </c>
      <c r="G342" s="795">
        <f t="shared" si="41"/>
        <v>0</v>
      </c>
      <c r="H342" s="795">
        <f t="shared" si="46"/>
        <v>0</v>
      </c>
      <c r="I342" s="795">
        <f t="shared" si="47"/>
        <v>0</v>
      </c>
      <c r="J342" s="795">
        <f t="shared" si="48"/>
        <v>0</v>
      </c>
      <c r="K342" s="108">
        <f t="shared" si="42"/>
        <v>2041</v>
      </c>
      <c r="L342" s="646" t="str">
        <f t="shared" si="43"/>
        <v/>
      </c>
    </row>
    <row r="343" spans="1:12" ht="12.75" customHeight="1">
      <c r="A343" s="645">
        <f>IF(B343&lt;&gt;"",MAX(A$28:A342)+1,IF(ISNA(HLOOKUP(DATE(YEAR($C$21),MONTH(C343),DAY(C343)),$C$21:$N$21,1,0)),"",MAX(A$28:A342)+1))</f>
        <v>105</v>
      </c>
      <c r="B343" s="91">
        <f>IF(C343&lt;$K$16,"",IF(ISNA(HLOOKUP(DATE(YEAR($C$20),MONTH($C343),DAY($C343)),$C$20:$N$20,1,0)),"",MAX(B$28:B342)+1))</f>
        <v>93</v>
      </c>
      <c r="C343" s="106">
        <f t="shared" si="49"/>
        <v>51591</v>
      </c>
      <c r="D343" s="795">
        <f t="shared" si="44"/>
        <v>0</v>
      </c>
      <c r="E343" s="795">
        <f>IF($A343="","",IF($A343=1,D$29*$F343*($C343-$C$28)/$K$17,
(D343*ROUND(($C343-VLOOKUP($A343-1,$A$28:$C343,3,0))/30,0)/12*$F343)
))</f>
        <v>0</v>
      </c>
      <c r="F343" s="107">
        <f t="shared" si="45"/>
        <v>0.06</v>
      </c>
      <c r="G343" s="795">
        <f t="shared" si="41"/>
        <v>0</v>
      </c>
      <c r="H343" s="795">
        <f t="shared" si="46"/>
        <v>0</v>
      </c>
      <c r="I343" s="795">
        <f t="shared" si="47"/>
        <v>0</v>
      </c>
      <c r="J343" s="795">
        <f t="shared" si="48"/>
        <v>0</v>
      </c>
      <c r="K343" s="108">
        <f t="shared" si="42"/>
        <v>2041</v>
      </c>
      <c r="L343" s="646" t="str">
        <f t="shared" si="43"/>
        <v/>
      </c>
    </row>
    <row r="344" spans="1:12" ht="12.75" customHeight="1">
      <c r="A344" s="645" t="str">
        <f>IF(B344&lt;&gt;"",MAX(A$28:A343)+1,IF(ISNA(HLOOKUP(DATE(YEAR($C$21),MONTH(C344),DAY(C344)),$C$21:$N$21,1,0)),"",MAX(A$28:A343)+1))</f>
        <v/>
      </c>
      <c r="B344" s="91" t="str">
        <f>IF(C344&lt;$K$16,"",IF(ISNA(HLOOKUP(DATE(YEAR($C$20),MONTH($C344),DAY($C344)),$C$20:$N$20,1,0)),"",MAX(B$28:B343)+1))</f>
        <v/>
      </c>
      <c r="C344" s="106">
        <f t="shared" si="49"/>
        <v>51621</v>
      </c>
      <c r="D344" s="795">
        <f t="shared" si="44"/>
        <v>0</v>
      </c>
      <c r="E344" s="795" t="str">
        <f>IF($A344="","",IF($A344=1,D$29*$F344*($C344-$C$28)/$K$17,
(D344*ROUND(($C344-VLOOKUP($A344-1,$A$28:$C344,3,0))/30,0)/12*$F344)
))</f>
        <v/>
      </c>
      <c r="F344" s="107">
        <f t="shared" si="45"/>
        <v>0.06</v>
      </c>
      <c r="G344" s="795">
        <f t="shared" si="41"/>
        <v>0</v>
      </c>
      <c r="H344" s="795">
        <f t="shared" si="46"/>
        <v>0</v>
      </c>
      <c r="I344" s="795">
        <f t="shared" si="47"/>
        <v>0</v>
      </c>
      <c r="J344" s="795">
        <f t="shared" si="48"/>
        <v>0</v>
      </c>
      <c r="K344" s="108">
        <f t="shared" si="42"/>
        <v>2041</v>
      </c>
      <c r="L344" s="646" t="str">
        <f t="shared" si="43"/>
        <v/>
      </c>
    </row>
    <row r="345" spans="1:12" ht="12.75" customHeight="1">
      <c r="A345" s="645" t="str">
        <f>IF(B345&lt;&gt;"",MAX(A$28:A344)+1,IF(ISNA(HLOOKUP(DATE(YEAR($C$21),MONTH(C345),DAY(C345)),$C$21:$N$21,1,0)),"",MAX(A$28:A344)+1))</f>
        <v/>
      </c>
      <c r="B345" s="91" t="str">
        <f>IF(C345&lt;$K$16,"",IF(ISNA(HLOOKUP(DATE(YEAR($C$20),MONTH($C345),DAY($C345)),$C$20:$N$20,1,0)),"",MAX(B$28:B344)+1))</f>
        <v/>
      </c>
      <c r="C345" s="106">
        <f t="shared" si="49"/>
        <v>51652</v>
      </c>
      <c r="D345" s="795">
        <f t="shared" si="44"/>
        <v>0</v>
      </c>
      <c r="E345" s="795" t="str">
        <f>IF($A345="","",IF($A345=1,D$29*$F345*($C345-$C$28)/$K$17,
(D345*ROUND(($C345-VLOOKUP($A345-1,$A$28:$C345,3,0))/30,0)/12*$F345)
))</f>
        <v/>
      </c>
      <c r="F345" s="107">
        <f t="shared" si="45"/>
        <v>0.06</v>
      </c>
      <c r="G345" s="795">
        <f t="shared" si="41"/>
        <v>0</v>
      </c>
      <c r="H345" s="795">
        <f t="shared" si="46"/>
        <v>0</v>
      </c>
      <c r="I345" s="795">
        <f t="shared" si="47"/>
        <v>0</v>
      </c>
      <c r="J345" s="795">
        <f t="shared" si="48"/>
        <v>0</v>
      </c>
      <c r="K345" s="108">
        <f t="shared" si="42"/>
        <v>2041</v>
      </c>
      <c r="L345" s="646" t="str">
        <f t="shared" si="43"/>
        <v/>
      </c>
    </row>
    <row r="346" spans="1:12" ht="12.75" customHeight="1">
      <c r="A346" s="645">
        <f>IF(B346&lt;&gt;"",MAX(A$28:A345)+1,IF(ISNA(HLOOKUP(DATE(YEAR($C$21),MONTH(C346),DAY(C346)),$C$21:$N$21,1,0)),"",MAX(A$28:A345)+1))</f>
        <v>106</v>
      </c>
      <c r="B346" s="91">
        <f>IF(C346&lt;$K$16,"",IF(ISNA(HLOOKUP(DATE(YEAR($C$20),MONTH($C346),DAY($C346)),$C$20:$N$20,1,0)),"",MAX(B$28:B345)+1))</f>
        <v>94</v>
      </c>
      <c r="C346" s="106">
        <f t="shared" si="49"/>
        <v>51682</v>
      </c>
      <c r="D346" s="795">
        <f t="shared" si="44"/>
        <v>0</v>
      </c>
      <c r="E346" s="795">
        <f>IF($A346="","",IF($A346=1,D$29*$F346*($C346-$C$28)/$K$17,
(D346*ROUND(($C346-VLOOKUP($A346-1,$A$28:$C346,3,0))/30,0)/12*$F346)
))</f>
        <v>0</v>
      </c>
      <c r="F346" s="107">
        <f t="shared" si="45"/>
        <v>0.06</v>
      </c>
      <c r="G346" s="795">
        <f t="shared" si="41"/>
        <v>0</v>
      </c>
      <c r="H346" s="795">
        <f t="shared" si="46"/>
        <v>0</v>
      </c>
      <c r="I346" s="795">
        <f t="shared" si="47"/>
        <v>0</v>
      </c>
      <c r="J346" s="795">
        <f t="shared" si="48"/>
        <v>0</v>
      </c>
      <c r="K346" s="108">
        <f t="shared" si="42"/>
        <v>2041</v>
      </c>
      <c r="L346" s="646" t="str">
        <f t="shared" si="43"/>
        <v/>
      </c>
    </row>
    <row r="347" spans="1:12" ht="12.75" customHeight="1">
      <c r="A347" s="645" t="str">
        <f>IF(B347&lt;&gt;"",MAX(A$28:A346)+1,IF(ISNA(HLOOKUP(DATE(YEAR($C$21),MONTH(C347),DAY(C347)),$C$21:$N$21,1,0)),"",MAX(A$28:A346)+1))</f>
        <v/>
      </c>
      <c r="B347" s="91" t="str">
        <f>IF(C347&lt;$K$16,"",IF(ISNA(HLOOKUP(DATE(YEAR($C$20),MONTH($C347),DAY($C347)),$C$20:$N$20,1,0)),"",MAX(B$28:B346)+1))</f>
        <v/>
      </c>
      <c r="C347" s="106">
        <f t="shared" si="49"/>
        <v>51713</v>
      </c>
      <c r="D347" s="795">
        <f t="shared" si="44"/>
        <v>0</v>
      </c>
      <c r="E347" s="795" t="str">
        <f>IF($A347="","",IF($A347=1,D$29*$F347*($C347-$C$28)/$K$17,
(D347*ROUND(($C347-VLOOKUP($A347-1,$A$28:$C347,3,0))/30,0)/12*$F347)
))</f>
        <v/>
      </c>
      <c r="F347" s="107">
        <f t="shared" si="45"/>
        <v>0.06</v>
      </c>
      <c r="G347" s="795">
        <f t="shared" si="41"/>
        <v>0</v>
      </c>
      <c r="H347" s="795">
        <f t="shared" si="46"/>
        <v>0</v>
      </c>
      <c r="I347" s="795">
        <f t="shared" si="47"/>
        <v>0</v>
      </c>
      <c r="J347" s="795">
        <f t="shared" si="48"/>
        <v>0</v>
      </c>
      <c r="K347" s="108">
        <f t="shared" si="42"/>
        <v>2041</v>
      </c>
      <c r="L347" s="646" t="str">
        <f t="shared" si="43"/>
        <v/>
      </c>
    </row>
    <row r="348" spans="1:12" ht="12.75" customHeight="1">
      <c r="A348" s="645" t="str">
        <f>IF(B348&lt;&gt;"",MAX(A$28:A347)+1,IF(ISNA(HLOOKUP(DATE(YEAR($C$21),MONTH(C348),DAY(C348)),$C$21:$N$21,1,0)),"",MAX(A$28:A347)+1))</f>
        <v/>
      </c>
      <c r="B348" s="91" t="str">
        <f>IF(C348&lt;$K$16,"",IF(ISNA(HLOOKUP(DATE(YEAR($C$20),MONTH($C348),DAY($C348)),$C$20:$N$20,1,0)),"",MAX(B$28:B347)+1))</f>
        <v/>
      </c>
      <c r="C348" s="106">
        <f t="shared" si="49"/>
        <v>51744</v>
      </c>
      <c r="D348" s="795">
        <f t="shared" si="44"/>
        <v>0</v>
      </c>
      <c r="E348" s="795" t="str">
        <f>IF($A348="","",IF($A348=1,D$29*$F348*($C348-$C$28)/$K$17,
(D348*ROUND(($C348-VLOOKUP($A348-1,$A$28:$C348,3,0))/30,0)/12*$F348)
))</f>
        <v/>
      </c>
      <c r="F348" s="107">
        <f t="shared" si="45"/>
        <v>0.06</v>
      </c>
      <c r="G348" s="795">
        <f t="shared" ref="G348:G411" si="50">IF($A$26=1,I348,H348)</f>
        <v>0</v>
      </c>
      <c r="H348" s="795">
        <f t="shared" si="46"/>
        <v>0</v>
      </c>
      <c r="I348" s="795">
        <f t="shared" si="47"/>
        <v>0</v>
      </c>
      <c r="J348" s="795">
        <f t="shared" si="48"/>
        <v>0</v>
      </c>
      <c r="K348" s="108">
        <f t="shared" ref="K348:K411" si="51">YEAR(C348)</f>
        <v>2041</v>
      </c>
      <c r="L348" s="646" t="str">
        <f t="shared" ref="L348:L411" si="52">IF(AND(D348&gt;1,D349&lt;1),C348,"")</f>
        <v/>
      </c>
    </row>
    <row r="349" spans="1:12" ht="12.75" customHeight="1">
      <c r="A349" s="645">
        <f>IF(B349&lt;&gt;"",MAX(A$28:A348)+1,IF(ISNA(HLOOKUP(DATE(YEAR($C$21),MONTH(C349),DAY(C349)),$C$21:$N$21,1,0)),"",MAX(A$28:A348)+1))</f>
        <v>107</v>
      </c>
      <c r="B349" s="91">
        <f>IF(C349&lt;$K$16,"",IF(ISNA(HLOOKUP(DATE(YEAR($C$20),MONTH($C349),DAY($C349)),$C$20:$N$20,1,0)),"",MAX(B$28:B348)+1))</f>
        <v>95</v>
      </c>
      <c r="C349" s="106">
        <f t="shared" si="49"/>
        <v>51774</v>
      </c>
      <c r="D349" s="795">
        <f t="shared" ref="D349:D412" si="53">D348-G348</f>
        <v>0</v>
      </c>
      <c r="E349" s="795">
        <f>IF($A349="","",IF($A349=1,D$29*$F349*($C349-$C$28)/$K$17,
(D349*ROUND(($C349-VLOOKUP($A349-1,$A$28:$C349,3,0))/30,0)/12*$F349)
))</f>
        <v>0</v>
      </c>
      <c r="F349" s="107">
        <f t="shared" ref="F349:F412" si="54">IF(C349&gt;=$E$16,$E$15,$C$15)</f>
        <v>0.06</v>
      </c>
      <c r="G349" s="795">
        <f t="shared" si="50"/>
        <v>0</v>
      </c>
      <c r="H349" s="795">
        <f t="shared" ref="H349:H412" si="55">IF(B349="",0,MIN(D349,$E$14*$K$15/$H$16))</f>
        <v>0</v>
      </c>
      <c r="I349" s="795">
        <f t="shared" ref="I349:I412" si="56">IF(B349="",0,MIN(D348,IF(C349&gt;$E$16,$H$18,$H$15)/$H$16-E349))</f>
        <v>0</v>
      </c>
      <c r="J349" s="795">
        <f t="shared" ref="J349:J412" si="57">SUM(E349,G349)</f>
        <v>0</v>
      </c>
      <c r="K349" s="108">
        <f t="shared" si="51"/>
        <v>2041</v>
      </c>
      <c r="L349" s="646" t="str">
        <f t="shared" si="52"/>
        <v/>
      </c>
    </row>
    <row r="350" spans="1:12" ht="12.75" customHeight="1">
      <c r="A350" s="645" t="str">
        <f>IF(B350&lt;&gt;"",MAX(A$28:A349)+1,IF(ISNA(HLOOKUP(DATE(YEAR($C$21),MONTH(C350),DAY(C350)),$C$21:$N$21,1,0)),"",MAX(A$28:A349)+1))</f>
        <v/>
      </c>
      <c r="B350" s="91" t="str">
        <f>IF(C350&lt;$K$16,"",IF(ISNA(HLOOKUP(DATE(YEAR($C$20),MONTH($C350),DAY($C350)),$C$20:$N$20,1,0)),"",MAX(B$28:B349)+1))</f>
        <v/>
      </c>
      <c r="C350" s="106">
        <f t="shared" ref="C350:C413" si="58">DATE(YEAR(C349),MONTH(C349)+2,1)-1</f>
        <v>51805</v>
      </c>
      <c r="D350" s="795">
        <f t="shared" si="53"/>
        <v>0</v>
      </c>
      <c r="E350" s="795" t="str">
        <f>IF($A350="","",IF($A350=1,D$29*$F350*($C350-$C$28)/$K$17,
(D350*ROUND(($C350-VLOOKUP($A350-1,$A$28:$C350,3,0))/30,0)/12*$F350)
))</f>
        <v/>
      </c>
      <c r="F350" s="107">
        <f t="shared" si="54"/>
        <v>0.06</v>
      </c>
      <c r="G350" s="795">
        <f t="shared" si="50"/>
        <v>0</v>
      </c>
      <c r="H350" s="795">
        <f t="shared" si="55"/>
        <v>0</v>
      </c>
      <c r="I350" s="795">
        <f t="shared" si="56"/>
        <v>0</v>
      </c>
      <c r="J350" s="795">
        <f t="shared" si="57"/>
        <v>0</v>
      </c>
      <c r="K350" s="108">
        <f t="shared" si="51"/>
        <v>2041</v>
      </c>
      <c r="L350" s="646" t="str">
        <f t="shared" si="52"/>
        <v/>
      </c>
    </row>
    <row r="351" spans="1:12" ht="12.75" customHeight="1">
      <c r="A351" s="645" t="str">
        <f>IF(B351&lt;&gt;"",MAX(A$28:A350)+1,IF(ISNA(HLOOKUP(DATE(YEAR($C$21),MONTH(C351),DAY(C351)),$C$21:$N$21,1,0)),"",MAX(A$28:A350)+1))</f>
        <v/>
      </c>
      <c r="B351" s="91" t="str">
        <f>IF(C351&lt;$K$16,"",IF(ISNA(HLOOKUP(DATE(YEAR($C$20),MONTH($C351),DAY($C351)),$C$20:$N$20,1,0)),"",MAX(B$28:B350)+1))</f>
        <v/>
      </c>
      <c r="C351" s="106">
        <f t="shared" si="58"/>
        <v>51835</v>
      </c>
      <c r="D351" s="795">
        <f t="shared" si="53"/>
        <v>0</v>
      </c>
      <c r="E351" s="795" t="str">
        <f>IF($A351="","",IF($A351=1,D$29*$F351*($C351-$C$28)/$K$17,
(D351*ROUND(($C351-VLOOKUP($A351-1,$A$28:$C351,3,0))/30,0)/12*$F351)
))</f>
        <v/>
      </c>
      <c r="F351" s="107">
        <f t="shared" si="54"/>
        <v>0.06</v>
      </c>
      <c r="G351" s="795">
        <f t="shared" si="50"/>
        <v>0</v>
      </c>
      <c r="H351" s="795">
        <f t="shared" si="55"/>
        <v>0</v>
      </c>
      <c r="I351" s="795">
        <f t="shared" si="56"/>
        <v>0</v>
      </c>
      <c r="J351" s="795">
        <f t="shared" si="57"/>
        <v>0</v>
      </c>
      <c r="K351" s="108">
        <f t="shared" si="51"/>
        <v>2041</v>
      </c>
      <c r="L351" s="646" t="str">
        <f t="shared" si="52"/>
        <v/>
      </c>
    </row>
    <row r="352" spans="1:12" ht="12.75" customHeight="1">
      <c r="A352" s="645">
        <f>IF(B352&lt;&gt;"",MAX(A$28:A351)+1,IF(ISNA(HLOOKUP(DATE(YEAR($C$21),MONTH(C352),DAY(C352)),$C$21:$N$21,1,0)),"",MAX(A$28:A351)+1))</f>
        <v>108</v>
      </c>
      <c r="B352" s="91">
        <f>IF(C352&lt;$K$16,"",IF(ISNA(HLOOKUP(DATE(YEAR($C$20),MONTH($C352),DAY($C352)),$C$20:$N$20,1,0)),"",MAX(B$28:B351)+1))</f>
        <v>96</v>
      </c>
      <c r="C352" s="106">
        <f t="shared" si="58"/>
        <v>51866</v>
      </c>
      <c r="D352" s="795">
        <f t="shared" si="53"/>
        <v>0</v>
      </c>
      <c r="E352" s="795">
        <f>IF($A352="","",IF($A352=1,D$29*$F352*($C352-$C$28)/$K$17,
(D352*ROUND(($C352-VLOOKUP($A352-1,$A$28:$C352,3,0))/30,0)/12*$F352)
))</f>
        <v>0</v>
      </c>
      <c r="F352" s="107">
        <f t="shared" si="54"/>
        <v>0.06</v>
      </c>
      <c r="G352" s="795">
        <f t="shared" si="50"/>
        <v>0</v>
      </c>
      <c r="H352" s="795">
        <f t="shared" si="55"/>
        <v>0</v>
      </c>
      <c r="I352" s="795">
        <f t="shared" si="56"/>
        <v>0</v>
      </c>
      <c r="J352" s="795">
        <f t="shared" si="57"/>
        <v>0</v>
      </c>
      <c r="K352" s="108">
        <f t="shared" si="51"/>
        <v>2041</v>
      </c>
      <c r="L352" s="646" t="str">
        <f t="shared" si="52"/>
        <v/>
      </c>
    </row>
    <row r="353" spans="1:12" ht="12.75" customHeight="1">
      <c r="A353" s="645" t="str">
        <f>IF(B353&lt;&gt;"",MAX(A$28:A352)+1,IF(ISNA(HLOOKUP(DATE(YEAR($C$21),MONTH(C353),DAY(C353)),$C$21:$N$21,1,0)),"",MAX(A$28:A352)+1))</f>
        <v/>
      </c>
      <c r="B353" s="91" t="str">
        <f>IF(C353&lt;$K$16,"",IF(ISNA(HLOOKUP(DATE(YEAR($C$20),MONTH($C353),DAY($C353)),$C$20:$N$20,1,0)),"",MAX(B$28:B352)+1))</f>
        <v/>
      </c>
      <c r="C353" s="106">
        <f t="shared" si="58"/>
        <v>51897</v>
      </c>
      <c r="D353" s="795">
        <f t="shared" si="53"/>
        <v>0</v>
      </c>
      <c r="E353" s="795" t="str">
        <f>IF($A353="","",IF($A353=1,D$29*$F353*($C353-$C$28)/$K$17,
(D353*ROUND(($C353-VLOOKUP($A353-1,$A$28:$C353,3,0))/30,0)/12*$F353)
))</f>
        <v/>
      </c>
      <c r="F353" s="107">
        <f t="shared" si="54"/>
        <v>0.06</v>
      </c>
      <c r="G353" s="795">
        <f t="shared" si="50"/>
        <v>0</v>
      </c>
      <c r="H353" s="795">
        <f t="shared" si="55"/>
        <v>0</v>
      </c>
      <c r="I353" s="795">
        <f t="shared" si="56"/>
        <v>0</v>
      </c>
      <c r="J353" s="795">
        <f t="shared" si="57"/>
        <v>0</v>
      </c>
      <c r="K353" s="108">
        <f t="shared" si="51"/>
        <v>2042</v>
      </c>
      <c r="L353" s="646" t="str">
        <f t="shared" si="52"/>
        <v/>
      </c>
    </row>
    <row r="354" spans="1:12" ht="12.75" customHeight="1">
      <c r="A354" s="645" t="str">
        <f>IF(B354&lt;&gt;"",MAX(A$28:A353)+1,IF(ISNA(HLOOKUP(DATE(YEAR($C$21),MONTH(C354),DAY(C354)),$C$21:$N$21,1,0)),"",MAX(A$28:A353)+1))</f>
        <v/>
      </c>
      <c r="B354" s="91" t="str">
        <f>IF(C354&lt;$K$16,"",IF(ISNA(HLOOKUP(DATE(YEAR($C$20),MONTH($C354),DAY($C354)),$C$20:$N$20,1,0)),"",MAX(B$28:B353)+1))</f>
        <v/>
      </c>
      <c r="C354" s="106">
        <f t="shared" si="58"/>
        <v>51925</v>
      </c>
      <c r="D354" s="795">
        <f t="shared" si="53"/>
        <v>0</v>
      </c>
      <c r="E354" s="795" t="str">
        <f>IF($A354="","",IF($A354=1,D$29*$F354*($C354-$C$28)/$K$17,
(D354*ROUND(($C354-VLOOKUP($A354-1,$A$28:$C354,3,0))/30,0)/12*$F354)
))</f>
        <v/>
      </c>
      <c r="F354" s="107">
        <f t="shared" si="54"/>
        <v>0.06</v>
      </c>
      <c r="G354" s="795">
        <f t="shared" si="50"/>
        <v>0</v>
      </c>
      <c r="H354" s="795">
        <f t="shared" si="55"/>
        <v>0</v>
      </c>
      <c r="I354" s="795">
        <f t="shared" si="56"/>
        <v>0</v>
      </c>
      <c r="J354" s="795">
        <f t="shared" si="57"/>
        <v>0</v>
      </c>
      <c r="K354" s="108">
        <f t="shared" si="51"/>
        <v>2042</v>
      </c>
      <c r="L354" s="646" t="str">
        <f t="shared" si="52"/>
        <v/>
      </c>
    </row>
    <row r="355" spans="1:12" ht="12.75" customHeight="1">
      <c r="A355" s="645">
        <f>IF(B355&lt;&gt;"",MAX(A$28:A354)+1,IF(ISNA(HLOOKUP(DATE(YEAR($C$21),MONTH(C355),DAY(C355)),$C$21:$N$21,1,0)),"",MAX(A$28:A354)+1))</f>
        <v>109</v>
      </c>
      <c r="B355" s="91">
        <f>IF(C355&lt;$K$16,"",IF(ISNA(HLOOKUP(DATE(YEAR($C$20),MONTH($C355),DAY($C355)),$C$20:$N$20,1,0)),"",MAX(B$28:B354)+1))</f>
        <v>97</v>
      </c>
      <c r="C355" s="106">
        <f t="shared" si="58"/>
        <v>51956</v>
      </c>
      <c r="D355" s="795">
        <f t="shared" si="53"/>
        <v>0</v>
      </c>
      <c r="E355" s="795">
        <f>IF($A355="","",IF($A355=1,D$29*$F355*($C355-$C$28)/$K$17,
(D355*ROUND(($C355-VLOOKUP($A355-1,$A$28:$C355,3,0))/30,0)/12*$F355)
))</f>
        <v>0</v>
      </c>
      <c r="F355" s="107">
        <f t="shared" si="54"/>
        <v>0.06</v>
      </c>
      <c r="G355" s="795">
        <f t="shared" si="50"/>
        <v>0</v>
      </c>
      <c r="H355" s="795">
        <f t="shared" si="55"/>
        <v>0</v>
      </c>
      <c r="I355" s="795">
        <f t="shared" si="56"/>
        <v>0</v>
      </c>
      <c r="J355" s="795">
        <f t="shared" si="57"/>
        <v>0</v>
      </c>
      <c r="K355" s="108">
        <f t="shared" si="51"/>
        <v>2042</v>
      </c>
      <c r="L355" s="646" t="str">
        <f t="shared" si="52"/>
        <v/>
      </c>
    </row>
    <row r="356" spans="1:12" ht="12.75" customHeight="1">
      <c r="A356" s="645" t="str">
        <f>IF(B356&lt;&gt;"",MAX(A$28:A355)+1,IF(ISNA(HLOOKUP(DATE(YEAR($C$21),MONTH(C356),DAY(C356)),$C$21:$N$21,1,0)),"",MAX(A$28:A355)+1))</f>
        <v/>
      </c>
      <c r="B356" s="91" t="str">
        <f>IF(C356&lt;$K$16,"",IF(ISNA(HLOOKUP(DATE(YEAR($C$20),MONTH($C356),DAY($C356)),$C$20:$N$20,1,0)),"",MAX(B$28:B355)+1))</f>
        <v/>
      </c>
      <c r="C356" s="106">
        <f t="shared" si="58"/>
        <v>51986</v>
      </c>
      <c r="D356" s="795">
        <f t="shared" si="53"/>
        <v>0</v>
      </c>
      <c r="E356" s="795" t="str">
        <f>IF($A356="","",IF($A356=1,D$29*$F356*($C356-$C$28)/$K$17,
(D356*ROUND(($C356-VLOOKUP($A356-1,$A$28:$C356,3,0))/30,0)/12*$F356)
))</f>
        <v/>
      </c>
      <c r="F356" s="107">
        <f t="shared" si="54"/>
        <v>0.06</v>
      </c>
      <c r="G356" s="795">
        <f t="shared" si="50"/>
        <v>0</v>
      </c>
      <c r="H356" s="795">
        <f t="shared" si="55"/>
        <v>0</v>
      </c>
      <c r="I356" s="795">
        <f t="shared" si="56"/>
        <v>0</v>
      </c>
      <c r="J356" s="795">
        <f t="shared" si="57"/>
        <v>0</v>
      </c>
      <c r="K356" s="108">
        <f t="shared" si="51"/>
        <v>2042</v>
      </c>
      <c r="L356" s="646" t="str">
        <f t="shared" si="52"/>
        <v/>
      </c>
    </row>
    <row r="357" spans="1:12" ht="12.75" customHeight="1">
      <c r="A357" s="645" t="str">
        <f>IF(B357&lt;&gt;"",MAX(A$28:A356)+1,IF(ISNA(HLOOKUP(DATE(YEAR($C$21),MONTH(C357),DAY(C357)),$C$21:$N$21,1,0)),"",MAX(A$28:A356)+1))</f>
        <v/>
      </c>
      <c r="B357" s="91" t="str">
        <f>IF(C357&lt;$K$16,"",IF(ISNA(HLOOKUP(DATE(YEAR($C$20),MONTH($C357),DAY($C357)),$C$20:$N$20,1,0)),"",MAX(B$28:B356)+1))</f>
        <v/>
      </c>
      <c r="C357" s="106">
        <f t="shared" si="58"/>
        <v>52017</v>
      </c>
      <c r="D357" s="795">
        <f t="shared" si="53"/>
        <v>0</v>
      </c>
      <c r="E357" s="795" t="str">
        <f>IF($A357="","",IF($A357=1,D$29*$F357*($C357-$C$28)/$K$17,
(D357*ROUND(($C357-VLOOKUP($A357-1,$A$28:$C357,3,0))/30,0)/12*$F357)
))</f>
        <v/>
      </c>
      <c r="F357" s="107">
        <f t="shared" si="54"/>
        <v>0.06</v>
      </c>
      <c r="G357" s="795">
        <f t="shared" si="50"/>
        <v>0</v>
      </c>
      <c r="H357" s="795">
        <f t="shared" si="55"/>
        <v>0</v>
      </c>
      <c r="I357" s="795">
        <f t="shared" si="56"/>
        <v>0</v>
      </c>
      <c r="J357" s="795">
        <f t="shared" si="57"/>
        <v>0</v>
      </c>
      <c r="K357" s="108">
        <f t="shared" si="51"/>
        <v>2042</v>
      </c>
      <c r="L357" s="646" t="str">
        <f t="shared" si="52"/>
        <v/>
      </c>
    </row>
    <row r="358" spans="1:12" ht="12.75" customHeight="1">
      <c r="A358" s="645">
        <f>IF(B358&lt;&gt;"",MAX(A$28:A357)+1,IF(ISNA(HLOOKUP(DATE(YEAR($C$21),MONTH(C358),DAY(C358)),$C$21:$N$21,1,0)),"",MAX(A$28:A357)+1))</f>
        <v>110</v>
      </c>
      <c r="B358" s="91">
        <f>IF(C358&lt;$K$16,"",IF(ISNA(HLOOKUP(DATE(YEAR($C$20),MONTH($C358),DAY($C358)),$C$20:$N$20,1,0)),"",MAX(B$28:B357)+1))</f>
        <v>98</v>
      </c>
      <c r="C358" s="106">
        <f t="shared" si="58"/>
        <v>52047</v>
      </c>
      <c r="D358" s="795">
        <f t="shared" si="53"/>
        <v>0</v>
      </c>
      <c r="E358" s="795">
        <f>IF($A358="","",IF($A358=1,D$29*$F358*($C358-$C$28)/$K$17,
(D358*ROUND(($C358-VLOOKUP($A358-1,$A$28:$C358,3,0))/30,0)/12*$F358)
))</f>
        <v>0</v>
      </c>
      <c r="F358" s="107">
        <f t="shared" si="54"/>
        <v>0.06</v>
      </c>
      <c r="G358" s="795">
        <f t="shared" si="50"/>
        <v>0</v>
      </c>
      <c r="H358" s="795">
        <f t="shared" si="55"/>
        <v>0</v>
      </c>
      <c r="I358" s="795">
        <f t="shared" si="56"/>
        <v>0</v>
      </c>
      <c r="J358" s="795">
        <f t="shared" si="57"/>
        <v>0</v>
      </c>
      <c r="K358" s="108">
        <f t="shared" si="51"/>
        <v>2042</v>
      </c>
      <c r="L358" s="646" t="str">
        <f t="shared" si="52"/>
        <v/>
      </c>
    </row>
    <row r="359" spans="1:12" ht="12.75" customHeight="1">
      <c r="A359" s="645" t="str">
        <f>IF(B359&lt;&gt;"",MAX(A$28:A358)+1,IF(ISNA(HLOOKUP(DATE(YEAR($C$21),MONTH(C359),DAY(C359)),$C$21:$N$21,1,0)),"",MAX(A$28:A358)+1))</f>
        <v/>
      </c>
      <c r="B359" s="91" t="str">
        <f>IF(C359&lt;$K$16,"",IF(ISNA(HLOOKUP(DATE(YEAR($C$20),MONTH($C359),DAY($C359)),$C$20:$N$20,1,0)),"",MAX(B$28:B358)+1))</f>
        <v/>
      </c>
      <c r="C359" s="106">
        <f t="shared" si="58"/>
        <v>52078</v>
      </c>
      <c r="D359" s="795">
        <f t="shared" si="53"/>
        <v>0</v>
      </c>
      <c r="E359" s="795" t="str">
        <f>IF($A359="","",IF($A359=1,D$29*$F359*($C359-$C$28)/$K$17,
(D359*ROUND(($C359-VLOOKUP($A359-1,$A$28:$C359,3,0))/30,0)/12*$F359)
))</f>
        <v/>
      </c>
      <c r="F359" s="107">
        <f t="shared" si="54"/>
        <v>0.06</v>
      </c>
      <c r="G359" s="795">
        <f t="shared" si="50"/>
        <v>0</v>
      </c>
      <c r="H359" s="795">
        <f t="shared" si="55"/>
        <v>0</v>
      </c>
      <c r="I359" s="795">
        <f t="shared" si="56"/>
        <v>0</v>
      </c>
      <c r="J359" s="795">
        <f t="shared" si="57"/>
        <v>0</v>
      </c>
      <c r="K359" s="108">
        <f t="shared" si="51"/>
        <v>2042</v>
      </c>
      <c r="L359" s="646" t="str">
        <f t="shared" si="52"/>
        <v/>
      </c>
    </row>
    <row r="360" spans="1:12" ht="12.75" customHeight="1">
      <c r="A360" s="645" t="str">
        <f>IF(B360&lt;&gt;"",MAX(A$28:A359)+1,IF(ISNA(HLOOKUP(DATE(YEAR($C$21),MONTH(C360),DAY(C360)),$C$21:$N$21,1,0)),"",MAX(A$28:A359)+1))</f>
        <v/>
      </c>
      <c r="B360" s="91" t="str">
        <f>IF(C360&lt;$K$16,"",IF(ISNA(HLOOKUP(DATE(YEAR($C$20),MONTH($C360),DAY($C360)),$C$20:$N$20,1,0)),"",MAX(B$28:B359)+1))</f>
        <v/>
      </c>
      <c r="C360" s="106">
        <f t="shared" si="58"/>
        <v>52109</v>
      </c>
      <c r="D360" s="795">
        <f t="shared" si="53"/>
        <v>0</v>
      </c>
      <c r="E360" s="795" t="str">
        <f>IF($A360="","",IF($A360=1,D$29*$F360*($C360-$C$28)/$K$17,
(D360*ROUND(($C360-VLOOKUP($A360-1,$A$28:$C360,3,0))/30,0)/12*$F360)
))</f>
        <v/>
      </c>
      <c r="F360" s="107">
        <f t="shared" si="54"/>
        <v>0.06</v>
      </c>
      <c r="G360" s="795">
        <f t="shared" si="50"/>
        <v>0</v>
      </c>
      <c r="H360" s="795">
        <f t="shared" si="55"/>
        <v>0</v>
      </c>
      <c r="I360" s="795">
        <f t="shared" si="56"/>
        <v>0</v>
      </c>
      <c r="J360" s="795">
        <f t="shared" si="57"/>
        <v>0</v>
      </c>
      <c r="K360" s="108">
        <f t="shared" si="51"/>
        <v>2042</v>
      </c>
      <c r="L360" s="646" t="str">
        <f t="shared" si="52"/>
        <v/>
      </c>
    </row>
    <row r="361" spans="1:12" ht="12.75" customHeight="1">
      <c r="A361" s="645">
        <f>IF(B361&lt;&gt;"",MAX(A$28:A360)+1,IF(ISNA(HLOOKUP(DATE(YEAR($C$21),MONTH(C361),DAY(C361)),$C$21:$N$21,1,0)),"",MAX(A$28:A360)+1))</f>
        <v>111</v>
      </c>
      <c r="B361" s="91">
        <f>IF(C361&lt;$K$16,"",IF(ISNA(HLOOKUP(DATE(YEAR($C$20),MONTH($C361),DAY($C361)),$C$20:$N$20,1,0)),"",MAX(B$28:B360)+1))</f>
        <v>99</v>
      </c>
      <c r="C361" s="106">
        <f t="shared" si="58"/>
        <v>52139</v>
      </c>
      <c r="D361" s="795">
        <f t="shared" si="53"/>
        <v>0</v>
      </c>
      <c r="E361" s="795">
        <f>IF($A361="","",IF($A361=1,D$29*$F361*($C361-$C$28)/$K$17,
(D361*ROUND(($C361-VLOOKUP($A361-1,$A$28:$C361,3,0))/30,0)/12*$F361)
))</f>
        <v>0</v>
      </c>
      <c r="F361" s="107">
        <f t="shared" si="54"/>
        <v>0.06</v>
      </c>
      <c r="G361" s="795">
        <f t="shared" si="50"/>
        <v>0</v>
      </c>
      <c r="H361" s="795">
        <f t="shared" si="55"/>
        <v>0</v>
      </c>
      <c r="I361" s="795">
        <f t="shared" si="56"/>
        <v>0</v>
      </c>
      <c r="J361" s="795">
        <f t="shared" si="57"/>
        <v>0</v>
      </c>
      <c r="K361" s="108">
        <f t="shared" si="51"/>
        <v>2042</v>
      </c>
      <c r="L361" s="646" t="str">
        <f t="shared" si="52"/>
        <v/>
      </c>
    </row>
    <row r="362" spans="1:12" ht="12.75" customHeight="1">
      <c r="A362" s="645" t="str">
        <f>IF(B362&lt;&gt;"",MAX(A$28:A361)+1,IF(ISNA(HLOOKUP(DATE(YEAR($C$21),MONTH(C362),DAY(C362)),$C$21:$N$21,1,0)),"",MAX(A$28:A361)+1))</f>
        <v/>
      </c>
      <c r="B362" s="91" t="str">
        <f>IF(C362&lt;$K$16,"",IF(ISNA(HLOOKUP(DATE(YEAR($C$20),MONTH($C362),DAY($C362)),$C$20:$N$20,1,0)),"",MAX(B$28:B361)+1))</f>
        <v/>
      </c>
      <c r="C362" s="106">
        <f t="shared" si="58"/>
        <v>52170</v>
      </c>
      <c r="D362" s="795">
        <f t="shared" si="53"/>
        <v>0</v>
      </c>
      <c r="E362" s="795" t="str">
        <f>IF($A362="","",IF($A362=1,D$29*$F362*($C362-$C$28)/$K$17,
(D362*ROUND(($C362-VLOOKUP($A362-1,$A$28:$C362,3,0))/30,0)/12*$F362)
))</f>
        <v/>
      </c>
      <c r="F362" s="107">
        <f t="shared" si="54"/>
        <v>0.06</v>
      </c>
      <c r="G362" s="795">
        <f t="shared" si="50"/>
        <v>0</v>
      </c>
      <c r="H362" s="795">
        <f t="shared" si="55"/>
        <v>0</v>
      </c>
      <c r="I362" s="795">
        <f t="shared" si="56"/>
        <v>0</v>
      </c>
      <c r="J362" s="795">
        <f t="shared" si="57"/>
        <v>0</v>
      </c>
      <c r="K362" s="108">
        <f t="shared" si="51"/>
        <v>2042</v>
      </c>
      <c r="L362" s="646" t="str">
        <f t="shared" si="52"/>
        <v/>
      </c>
    </row>
    <row r="363" spans="1:12" ht="12.75" customHeight="1">
      <c r="A363" s="645" t="str">
        <f>IF(B363&lt;&gt;"",MAX(A$28:A362)+1,IF(ISNA(HLOOKUP(DATE(YEAR($C$21),MONTH(C363),DAY(C363)),$C$21:$N$21,1,0)),"",MAX(A$28:A362)+1))</f>
        <v/>
      </c>
      <c r="B363" s="91" t="str">
        <f>IF(C363&lt;$K$16,"",IF(ISNA(HLOOKUP(DATE(YEAR($C$20),MONTH($C363),DAY($C363)),$C$20:$N$20,1,0)),"",MAX(B$28:B362)+1))</f>
        <v/>
      </c>
      <c r="C363" s="106">
        <f t="shared" si="58"/>
        <v>52200</v>
      </c>
      <c r="D363" s="795">
        <f t="shared" si="53"/>
        <v>0</v>
      </c>
      <c r="E363" s="795" t="str">
        <f>IF($A363="","",IF($A363=1,D$29*$F363*($C363-$C$28)/$K$17,
(D363*ROUND(($C363-VLOOKUP($A363-1,$A$28:$C363,3,0))/30,0)/12*$F363)
))</f>
        <v/>
      </c>
      <c r="F363" s="107">
        <f t="shared" si="54"/>
        <v>0.06</v>
      </c>
      <c r="G363" s="795">
        <f t="shared" si="50"/>
        <v>0</v>
      </c>
      <c r="H363" s="795">
        <f t="shared" si="55"/>
        <v>0</v>
      </c>
      <c r="I363" s="795">
        <f t="shared" si="56"/>
        <v>0</v>
      </c>
      <c r="J363" s="795">
        <f t="shared" si="57"/>
        <v>0</v>
      </c>
      <c r="K363" s="108">
        <f t="shared" si="51"/>
        <v>2042</v>
      </c>
      <c r="L363" s="646" t="str">
        <f t="shared" si="52"/>
        <v/>
      </c>
    </row>
    <row r="364" spans="1:12" ht="12.75" customHeight="1">
      <c r="A364" s="645">
        <f>IF(B364&lt;&gt;"",MAX(A$28:A363)+1,IF(ISNA(HLOOKUP(DATE(YEAR($C$21),MONTH(C364),DAY(C364)),$C$21:$N$21,1,0)),"",MAX(A$28:A363)+1))</f>
        <v>112</v>
      </c>
      <c r="B364" s="91">
        <f>IF(C364&lt;$K$16,"",IF(ISNA(HLOOKUP(DATE(YEAR($C$20),MONTH($C364),DAY($C364)),$C$20:$N$20,1,0)),"",MAX(B$28:B363)+1))</f>
        <v>100</v>
      </c>
      <c r="C364" s="106">
        <f t="shared" si="58"/>
        <v>52231</v>
      </c>
      <c r="D364" s="795">
        <f t="shared" si="53"/>
        <v>0</v>
      </c>
      <c r="E364" s="795">
        <f>IF($A364="","",IF($A364=1,D$29*$F364*($C364-$C$28)/$K$17,
(D364*ROUND(($C364-VLOOKUP($A364-1,$A$28:$C364,3,0))/30,0)/12*$F364)
))</f>
        <v>0</v>
      </c>
      <c r="F364" s="107">
        <f t="shared" si="54"/>
        <v>0.06</v>
      </c>
      <c r="G364" s="795">
        <f t="shared" si="50"/>
        <v>0</v>
      </c>
      <c r="H364" s="795">
        <f t="shared" si="55"/>
        <v>0</v>
      </c>
      <c r="I364" s="795">
        <f t="shared" si="56"/>
        <v>0</v>
      </c>
      <c r="J364" s="795">
        <f t="shared" si="57"/>
        <v>0</v>
      </c>
      <c r="K364" s="108">
        <f t="shared" si="51"/>
        <v>2042</v>
      </c>
      <c r="L364" s="646" t="str">
        <f t="shared" si="52"/>
        <v/>
      </c>
    </row>
    <row r="365" spans="1:12" ht="12.75" customHeight="1">
      <c r="A365" s="645" t="str">
        <f>IF(B365&lt;&gt;"",MAX(A$28:A364)+1,IF(ISNA(HLOOKUP(DATE(YEAR($C$21),MONTH(C365),DAY(C365)),$C$21:$N$21,1,0)),"",MAX(A$28:A364)+1))</f>
        <v/>
      </c>
      <c r="B365" s="91" t="str">
        <f>IF(C365&lt;$K$16,"",IF(ISNA(HLOOKUP(DATE(YEAR($C$20),MONTH($C365),DAY($C365)),$C$20:$N$20,1,0)),"",MAX(B$28:B364)+1))</f>
        <v/>
      </c>
      <c r="C365" s="106">
        <f t="shared" si="58"/>
        <v>52262</v>
      </c>
      <c r="D365" s="795">
        <f t="shared" si="53"/>
        <v>0</v>
      </c>
      <c r="E365" s="795" t="str">
        <f>IF($A365="","",IF($A365=1,D$29*$F365*($C365-$C$28)/$K$17,
(D365*ROUND(($C365-VLOOKUP($A365-1,$A$28:$C365,3,0))/30,0)/12*$F365)
))</f>
        <v/>
      </c>
      <c r="F365" s="107">
        <f t="shared" si="54"/>
        <v>0.06</v>
      </c>
      <c r="G365" s="795">
        <f t="shared" si="50"/>
        <v>0</v>
      </c>
      <c r="H365" s="795">
        <f t="shared" si="55"/>
        <v>0</v>
      </c>
      <c r="I365" s="795">
        <f t="shared" si="56"/>
        <v>0</v>
      </c>
      <c r="J365" s="795">
        <f t="shared" si="57"/>
        <v>0</v>
      </c>
      <c r="K365" s="108">
        <f t="shared" si="51"/>
        <v>2043</v>
      </c>
      <c r="L365" s="646" t="str">
        <f t="shared" si="52"/>
        <v/>
      </c>
    </row>
    <row r="366" spans="1:12" ht="12.75" customHeight="1">
      <c r="A366" s="645" t="str">
        <f>IF(B366&lt;&gt;"",MAX(A$28:A365)+1,IF(ISNA(HLOOKUP(DATE(YEAR($C$21),MONTH(C366),DAY(C366)),$C$21:$N$21,1,0)),"",MAX(A$28:A365)+1))</f>
        <v/>
      </c>
      <c r="B366" s="91" t="str">
        <f>IF(C366&lt;$K$16,"",IF(ISNA(HLOOKUP(DATE(YEAR($C$20),MONTH($C366),DAY($C366)),$C$20:$N$20,1,0)),"",MAX(B$28:B365)+1))</f>
        <v/>
      </c>
      <c r="C366" s="106">
        <f t="shared" si="58"/>
        <v>52290</v>
      </c>
      <c r="D366" s="795">
        <f t="shared" si="53"/>
        <v>0</v>
      </c>
      <c r="E366" s="795" t="str">
        <f>IF($A366="","",IF($A366=1,D$29*$F366*($C366-$C$28)/$K$17,
(D366*ROUND(($C366-VLOOKUP($A366-1,$A$28:$C366,3,0))/30,0)/12*$F366)
))</f>
        <v/>
      </c>
      <c r="F366" s="107">
        <f t="shared" si="54"/>
        <v>0.06</v>
      </c>
      <c r="G366" s="795">
        <f t="shared" si="50"/>
        <v>0</v>
      </c>
      <c r="H366" s="795">
        <f t="shared" si="55"/>
        <v>0</v>
      </c>
      <c r="I366" s="795">
        <f t="shared" si="56"/>
        <v>0</v>
      </c>
      <c r="J366" s="795">
        <f t="shared" si="57"/>
        <v>0</v>
      </c>
      <c r="K366" s="108">
        <f t="shared" si="51"/>
        <v>2043</v>
      </c>
      <c r="L366" s="646" t="str">
        <f t="shared" si="52"/>
        <v/>
      </c>
    </row>
    <row r="367" spans="1:12" ht="12.75" customHeight="1">
      <c r="A367" s="645">
        <f>IF(B367&lt;&gt;"",MAX(A$28:A366)+1,IF(ISNA(HLOOKUP(DATE(YEAR($C$21),MONTH(C367),DAY(C367)),$C$21:$N$21,1,0)),"",MAX(A$28:A366)+1))</f>
        <v>113</v>
      </c>
      <c r="B367" s="91">
        <f>IF(C367&lt;$K$16,"",IF(ISNA(HLOOKUP(DATE(YEAR($C$20),MONTH($C367),DAY($C367)),$C$20:$N$20,1,0)),"",MAX(B$28:B366)+1))</f>
        <v>101</v>
      </c>
      <c r="C367" s="106">
        <f t="shared" si="58"/>
        <v>52321</v>
      </c>
      <c r="D367" s="795">
        <f t="shared" si="53"/>
        <v>0</v>
      </c>
      <c r="E367" s="795">
        <f>IF($A367="","",IF($A367=1,D$29*$F367*($C367-$C$28)/$K$17,
(D367*ROUND(($C367-VLOOKUP($A367-1,$A$28:$C367,3,0))/30,0)/12*$F367)
))</f>
        <v>0</v>
      </c>
      <c r="F367" s="107">
        <f t="shared" si="54"/>
        <v>0.06</v>
      </c>
      <c r="G367" s="795">
        <f t="shared" si="50"/>
        <v>0</v>
      </c>
      <c r="H367" s="795">
        <f t="shared" si="55"/>
        <v>0</v>
      </c>
      <c r="I367" s="795">
        <f t="shared" si="56"/>
        <v>0</v>
      </c>
      <c r="J367" s="795">
        <f t="shared" si="57"/>
        <v>0</v>
      </c>
      <c r="K367" s="108">
        <f t="shared" si="51"/>
        <v>2043</v>
      </c>
      <c r="L367" s="646" t="str">
        <f t="shared" si="52"/>
        <v/>
      </c>
    </row>
    <row r="368" spans="1:12" ht="12.75" customHeight="1">
      <c r="A368" s="645" t="str">
        <f>IF(B368&lt;&gt;"",MAX(A$28:A367)+1,IF(ISNA(HLOOKUP(DATE(YEAR($C$21),MONTH(C368),DAY(C368)),$C$21:$N$21,1,0)),"",MAX(A$28:A367)+1))</f>
        <v/>
      </c>
      <c r="B368" s="91" t="str">
        <f>IF(C368&lt;$K$16,"",IF(ISNA(HLOOKUP(DATE(YEAR($C$20),MONTH($C368),DAY($C368)),$C$20:$N$20,1,0)),"",MAX(B$28:B367)+1))</f>
        <v/>
      </c>
      <c r="C368" s="106">
        <f t="shared" si="58"/>
        <v>52351</v>
      </c>
      <c r="D368" s="795">
        <f t="shared" si="53"/>
        <v>0</v>
      </c>
      <c r="E368" s="795" t="str">
        <f>IF($A368="","",IF($A368=1,D$29*$F368*($C368-$C$28)/$K$17,
(D368*ROUND(($C368-VLOOKUP($A368-1,$A$28:$C368,3,0))/30,0)/12*$F368)
))</f>
        <v/>
      </c>
      <c r="F368" s="107">
        <f t="shared" si="54"/>
        <v>0.06</v>
      </c>
      <c r="G368" s="795">
        <f t="shared" si="50"/>
        <v>0</v>
      </c>
      <c r="H368" s="795">
        <f t="shared" si="55"/>
        <v>0</v>
      </c>
      <c r="I368" s="795">
        <f t="shared" si="56"/>
        <v>0</v>
      </c>
      <c r="J368" s="795">
        <f t="shared" si="57"/>
        <v>0</v>
      </c>
      <c r="K368" s="108">
        <f t="shared" si="51"/>
        <v>2043</v>
      </c>
      <c r="L368" s="646" t="str">
        <f t="shared" si="52"/>
        <v/>
      </c>
    </row>
    <row r="369" spans="1:12" ht="12.75" customHeight="1">
      <c r="A369" s="645" t="str">
        <f>IF(B369&lt;&gt;"",MAX(A$28:A368)+1,IF(ISNA(HLOOKUP(DATE(YEAR($C$21),MONTH(C369),DAY(C369)),$C$21:$N$21,1,0)),"",MAX(A$28:A368)+1))</f>
        <v/>
      </c>
      <c r="B369" s="91" t="str">
        <f>IF(C369&lt;$K$16,"",IF(ISNA(HLOOKUP(DATE(YEAR($C$20),MONTH($C369),DAY($C369)),$C$20:$N$20,1,0)),"",MAX(B$28:B368)+1))</f>
        <v/>
      </c>
      <c r="C369" s="106">
        <f t="shared" si="58"/>
        <v>52382</v>
      </c>
      <c r="D369" s="795">
        <f t="shared" si="53"/>
        <v>0</v>
      </c>
      <c r="E369" s="795" t="str">
        <f>IF($A369="","",IF($A369=1,D$29*$F369*($C369-$C$28)/$K$17,
(D369*ROUND(($C369-VLOOKUP($A369-1,$A$28:$C369,3,0))/30,0)/12*$F369)
))</f>
        <v/>
      </c>
      <c r="F369" s="107">
        <f t="shared" si="54"/>
        <v>0.06</v>
      </c>
      <c r="G369" s="795">
        <f t="shared" si="50"/>
        <v>0</v>
      </c>
      <c r="H369" s="795">
        <f t="shared" si="55"/>
        <v>0</v>
      </c>
      <c r="I369" s="795">
        <f t="shared" si="56"/>
        <v>0</v>
      </c>
      <c r="J369" s="795">
        <f t="shared" si="57"/>
        <v>0</v>
      </c>
      <c r="K369" s="108">
        <f t="shared" si="51"/>
        <v>2043</v>
      </c>
      <c r="L369" s="646" t="str">
        <f t="shared" si="52"/>
        <v/>
      </c>
    </row>
    <row r="370" spans="1:12" ht="12.75" customHeight="1">
      <c r="A370" s="645">
        <f>IF(B370&lt;&gt;"",MAX(A$28:A369)+1,IF(ISNA(HLOOKUP(DATE(YEAR($C$21),MONTH(C370),DAY(C370)),$C$21:$N$21,1,0)),"",MAX(A$28:A369)+1))</f>
        <v>114</v>
      </c>
      <c r="B370" s="91">
        <f>IF(C370&lt;$K$16,"",IF(ISNA(HLOOKUP(DATE(YEAR($C$20),MONTH($C370),DAY($C370)),$C$20:$N$20,1,0)),"",MAX(B$28:B369)+1))</f>
        <v>102</v>
      </c>
      <c r="C370" s="106">
        <f t="shared" si="58"/>
        <v>52412</v>
      </c>
      <c r="D370" s="795">
        <f t="shared" si="53"/>
        <v>0</v>
      </c>
      <c r="E370" s="795">
        <f>IF($A370="","",IF($A370=1,D$29*$F370*($C370-$C$28)/$K$17,
(D370*ROUND(($C370-VLOOKUP($A370-1,$A$28:$C370,3,0))/30,0)/12*$F370)
))</f>
        <v>0</v>
      </c>
      <c r="F370" s="107">
        <f t="shared" si="54"/>
        <v>0.06</v>
      </c>
      <c r="G370" s="795">
        <f t="shared" si="50"/>
        <v>0</v>
      </c>
      <c r="H370" s="795">
        <f t="shared" si="55"/>
        <v>0</v>
      </c>
      <c r="I370" s="795">
        <f t="shared" si="56"/>
        <v>0</v>
      </c>
      <c r="J370" s="795">
        <f t="shared" si="57"/>
        <v>0</v>
      </c>
      <c r="K370" s="108">
        <f t="shared" si="51"/>
        <v>2043</v>
      </c>
      <c r="L370" s="646" t="str">
        <f t="shared" si="52"/>
        <v/>
      </c>
    </row>
    <row r="371" spans="1:12" ht="12.75" customHeight="1">
      <c r="A371" s="645" t="str">
        <f>IF(B371&lt;&gt;"",MAX(A$28:A370)+1,IF(ISNA(HLOOKUP(DATE(YEAR($C$21),MONTH(C371),DAY(C371)),$C$21:$N$21,1,0)),"",MAX(A$28:A370)+1))</f>
        <v/>
      </c>
      <c r="B371" s="91" t="str">
        <f>IF(C371&lt;$K$16,"",IF(ISNA(HLOOKUP(DATE(YEAR($C$20),MONTH($C371),DAY($C371)),$C$20:$N$20,1,0)),"",MAX(B$28:B370)+1))</f>
        <v/>
      </c>
      <c r="C371" s="106">
        <f t="shared" si="58"/>
        <v>52443</v>
      </c>
      <c r="D371" s="795">
        <f t="shared" si="53"/>
        <v>0</v>
      </c>
      <c r="E371" s="795" t="str">
        <f>IF($A371="","",IF($A371=1,D$29*$F371*($C371-$C$28)/$K$17,
(D371*ROUND(($C371-VLOOKUP($A371-1,$A$28:$C371,3,0))/30,0)/12*$F371)
))</f>
        <v/>
      </c>
      <c r="F371" s="107">
        <f t="shared" si="54"/>
        <v>0.06</v>
      </c>
      <c r="G371" s="795">
        <f t="shared" si="50"/>
        <v>0</v>
      </c>
      <c r="H371" s="795">
        <f t="shared" si="55"/>
        <v>0</v>
      </c>
      <c r="I371" s="795">
        <f t="shared" si="56"/>
        <v>0</v>
      </c>
      <c r="J371" s="795">
        <f t="shared" si="57"/>
        <v>0</v>
      </c>
      <c r="K371" s="108">
        <f t="shared" si="51"/>
        <v>2043</v>
      </c>
      <c r="L371" s="646" t="str">
        <f t="shared" si="52"/>
        <v/>
      </c>
    </row>
    <row r="372" spans="1:12" ht="12.75" customHeight="1">
      <c r="A372" s="645" t="str">
        <f>IF(B372&lt;&gt;"",MAX(A$28:A371)+1,IF(ISNA(HLOOKUP(DATE(YEAR($C$21),MONTH(C372),DAY(C372)),$C$21:$N$21,1,0)),"",MAX(A$28:A371)+1))</f>
        <v/>
      </c>
      <c r="B372" s="91" t="str">
        <f>IF(C372&lt;$K$16,"",IF(ISNA(HLOOKUP(DATE(YEAR($C$20),MONTH($C372),DAY($C372)),$C$20:$N$20,1,0)),"",MAX(B$28:B371)+1))</f>
        <v/>
      </c>
      <c r="C372" s="106">
        <f t="shared" si="58"/>
        <v>52474</v>
      </c>
      <c r="D372" s="795">
        <f t="shared" si="53"/>
        <v>0</v>
      </c>
      <c r="E372" s="795" t="str">
        <f>IF($A372="","",IF($A372=1,D$29*$F372*($C372-$C$28)/$K$17,
(D372*ROUND(($C372-VLOOKUP($A372-1,$A$28:$C372,3,0))/30,0)/12*$F372)
))</f>
        <v/>
      </c>
      <c r="F372" s="107">
        <f t="shared" si="54"/>
        <v>0.06</v>
      </c>
      <c r="G372" s="795">
        <f t="shared" si="50"/>
        <v>0</v>
      </c>
      <c r="H372" s="795">
        <f t="shared" si="55"/>
        <v>0</v>
      </c>
      <c r="I372" s="795">
        <f t="shared" si="56"/>
        <v>0</v>
      </c>
      <c r="J372" s="795">
        <f t="shared" si="57"/>
        <v>0</v>
      </c>
      <c r="K372" s="108">
        <f t="shared" si="51"/>
        <v>2043</v>
      </c>
      <c r="L372" s="646" t="str">
        <f t="shared" si="52"/>
        <v/>
      </c>
    </row>
    <row r="373" spans="1:12" ht="12.75" customHeight="1">
      <c r="A373" s="645">
        <f>IF(B373&lt;&gt;"",MAX(A$28:A372)+1,IF(ISNA(HLOOKUP(DATE(YEAR($C$21),MONTH(C373),DAY(C373)),$C$21:$N$21,1,0)),"",MAX(A$28:A372)+1))</f>
        <v>115</v>
      </c>
      <c r="B373" s="91">
        <f>IF(C373&lt;$K$16,"",IF(ISNA(HLOOKUP(DATE(YEAR($C$20),MONTH($C373),DAY($C373)),$C$20:$N$20,1,0)),"",MAX(B$28:B372)+1))</f>
        <v>103</v>
      </c>
      <c r="C373" s="106">
        <f t="shared" si="58"/>
        <v>52504</v>
      </c>
      <c r="D373" s="795">
        <f t="shared" si="53"/>
        <v>0</v>
      </c>
      <c r="E373" s="795">
        <f>IF($A373="","",IF($A373=1,D$29*$F373*($C373-$C$28)/$K$17,
(D373*ROUND(($C373-VLOOKUP($A373-1,$A$28:$C373,3,0))/30,0)/12*$F373)
))</f>
        <v>0</v>
      </c>
      <c r="F373" s="107">
        <f t="shared" si="54"/>
        <v>0.06</v>
      </c>
      <c r="G373" s="795">
        <f t="shared" si="50"/>
        <v>0</v>
      </c>
      <c r="H373" s="795">
        <f t="shared" si="55"/>
        <v>0</v>
      </c>
      <c r="I373" s="795">
        <f t="shared" si="56"/>
        <v>0</v>
      </c>
      <c r="J373" s="795">
        <f t="shared" si="57"/>
        <v>0</v>
      </c>
      <c r="K373" s="108">
        <f t="shared" si="51"/>
        <v>2043</v>
      </c>
      <c r="L373" s="646" t="str">
        <f t="shared" si="52"/>
        <v/>
      </c>
    </row>
    <row r="374" spans="1:12" ht="12.75" customHeight="1">
      <c r="A374" s="645" t="str">
        <f>IF(B374&lt;&gt;"",MAX(A$28:A373)+1,IF(ISNA(HLOOKUP(DATE(YEAR($C$21),MONTH(C374),DAY(C374)),$C$21:$N$21,1,0)),"",MAX(A$28:A373)+1))</f>
        <v/>
      </c>
      <c r="B374" s="91" t="str">
        <f>IF(C374&lt;$K$16,"",IF(ISNA(HLOOKUP(DATE(YEAR($C$20),MONTH($C374),DAY($C374)),$C$20:$N$20,1,0)),"",MAX(B$28:B373)+1))</f>
        <v/>
      </c>
      <c r="C374" s="106">
        <f t="shared" si="58"/>
        <v>52535</v>
      </c>
      <c r="D374" s="795">
        <f t="shared" si="53"/>
        <v>0</v>
      </c>
      <c r="E374" s="795" t="str">
        <f>IF($A374="","",IF($A374=1,D$29*$F374*($C374-$C$28)/$K$17,
(D374*ROUND(($C374-VLOOKUP($A374-1,$A$28:$C374,3,0))/30,0)/12*$F374)
))</f>
        <v/>
      </c>
      <c r="F374" s="107">
        <f t="shared" si="54"/>
        <v>0.06</v>
      </c>
      <c r="G374" s="795">
        <f t="shared" si="50"/>
        <v>0</v>
      </c>
      <c r="H374" s="795">
        <f t="shared" si="55"/>
        <v>0</v>
      </c>
      <c r="I374" s="795">
        <f t="shared" si="56"/>
        <v>0</v>
      </c>
      <c r="J374" s="795">
        <f t="shared" si="57"/>
        <v>0</v>
      </c>
      <c r="K374" s="108">
        <f t="shared" si="51"/>
        <v>2043</v>
      </c>
      <c r="L374" s="646" t="str">
        <f t="shared" si="52"/>
        <v/>
      </c>
    </row>
    <row r="375" spans="1:12" ht="12.75" customHeight="1">
      <c r="A375" s="645" t="str">
        <f>IF(B375&lt;&gt;"",MAX(A$28:A374)+1,IF(ISNA(HLOOKUP(DATE(YEAR($C$21),MONTH(C375),DAY(C375)),$C$21:$N$21,1,0)),"",MAX(A$28:A374)+1))</f>
        <v/>
      </c>
      <c r="B375" s="91" t="str">
        <f>IF(C375&lt;$K$16,"",IF(ISNA(HLOOKUP(DATE(YEAR($C$20),MONTH($C375),DAY($C375)),$C$20:$N$20,1,0)),"",MAX(B$28:B374)+1))</f>
        <v/>
      </c>
      <c r="C375" s="106">
        <f t="shared" si="58"/>
        <v>52565</v>
      </c>
      <c r="D375" s="795">
        <f t="shared" si="53"/>
        <v>0</v>
      </c>
      <c r="E375" s="795" t="str">
        <f>IF($A375="","",IF($A375=1,D$29*$F375*($C375-$C$28)/$K$17,
(D375*ROUND(($C375-VLOOKUP($A375-1,$A$28:$C375,3,0))/30,0)/12*$F375)
))</f>
        <v/>
      </c>
      <c r="F375" s="107">
        <f t="shared" si="54"/>
        <v>0.06</v>
      </c>
      <c r="G375" s="795">
        <f t="shared" si="50"/>
        <v>0</v>
      </c>
      <c r="H375" s="795">
        <f t="shared" si="55"/>
        <v>0</v>
      </c>
      <c r="I375" s="795">
        <f t="shared" si="56"/>
        <v>0</v>
      </c>
      <c r="J375" s="795">
        <f t="shared" si="57"/>
        <v>0</v>
      </c>
      <c r="K375" s="108">
        <f t="shared" si="51"/>
        <v>2043</v>
      </c>
      <c r="L375" s="646" t="str">
        <f t="shared" si="52"/>
        <v/>
      </c>
    </row>
    <row r="376" spans="1:12" ht="12.75" customHeight="1">
      <c r="A376" s="645">
        <f>IF(B376&lt;&gt;"",MAX(A$28:A375)+1,IF(ISNA(HLOOKUP(DATE(YEAR($C$21),MONTH(C376),DAY(C376)),$C$21:$N$21,1,0)),"",MAX(A$28:A375)+1))</f>
        <v>116</v>
      </c>
      <c r="B376" s="91">
        <f>IF(C376&lt;$K$16,"",IF(ISNA(HLOOKUP(DATE(YEAR($C$20),MONTH($C376),DAY($C376)),$C$20:$N$20,1,0)),"",MAX(B$28:B375)+1))</f>
        <v>104</v>
      </c>
      <c r="C376" s="106">
        <f t="shared" si="58"/>
        <v>52596</v>
      </c>
      <c r="D376" s="795">
        <f t="shared" si="53"/>
        <v>0</v>
      </c>
      <c r="E376" s="795">
        <f>IF($A376="","",IF($A376=1,D$29*$F376*($C376-$C$28)/$K$17,
(D376*ROUND(($C376-VLOOKUP($A376-1,$A$28:$C376,3,0))/30,0)/12*$F376)
))</f>
        <v>0</v>
      </c>
      <c r="F376" s="107">
        <f t="shared" si="54"/>
        <v>0.06</v>
      </c>
      <c r="G376" s="795">
        <f t="shared" si="50"/>
        <v>0</v>
      </c>
      <c r="H376" s="795">
        <f t="shared" si="55"/>
        <v>0</v>
      </c>
      <c r="I376" s="795">
        <f t="shared" si="56"/>
        <v>0</v>
      </c>
      <c r="J376" s="795">
        <f t="shared" si="57"/>
        <v>0</v>
      </c>
      <c r="K376" s="108">
        <f t="shared" si="51"/>
        <v>2043</v>
      </c>
      <c r="L376" s="646" t="str">
        <f t="shared" si="52"/>
        <v/>
      </c>
    </row>
    <row r="377" spans="1:12" ht="12.75" customHeight="1">
      <c r="A377" s="645" t="str">
        <f>IF(B377&lt;&gt;"",MAX(A$28:A376)+1,IF(ISNA(HLOOKUP(DATE(YEAR($C$21),MONTH(C377),DAY(C377)),$C$21:$N$21,1,0)),"",MAX(A$28:A376)+1))</f>
        <v/>
      </c>
      <c r="B377" s="91" t="str">
        <f>IF(C377&lt;$K$16,"",IF(ISNA(HLOOKUP(DATE(YEAR($C$20),MONTH($C377),DAY($C377)),$C$20:$N$20,1,0)),"",MAX(B$28:B376)+1))</f>
        <v/>
      </c>
      <c r="C377" s="106">
        <f t="shared" si="58"/>
        <v>52627</v>
      </c>
      <c r="D377" s="795">
        <f t="shared" si="53"/>
        <v>0</v>
      </c>
      <c r="E377" s="795" t="str">
        <f>IF($A377="","",IF($A377=1,D$29*$F377*($C377-$C$28)/$K$17,
(D377*ROUND(($C377-VLOOKUP($A377-1,$A$28:$C377,3,0))/30,0)/12*$F377)
))</f>
        <v/>
      </c>
      <c r="F377" s="107">
        <f t="shared" si="54"/>
        <v>0.06</v>
      </c>
      <c r="G377" s="795">
        <f t="shared" si="50"/>
        <v>0</v>
      </c>
      <c r="H377" s="795">
        <f t="shared" si="55"/>
        <v>0</v>
      </c>
      <c r="I377" s="795">
        <f t="shared" si="56"/>
        <v>0</v>
      </c>
      <c r="J377" s="795">
        <f t="shared" si="57"/>
        <v>0</v>
      </c>
      <c r="K377" s="108">
        <f t="shared" si="51"/>
        <v>2044</v>
      </c>
      <c r="L377" s="646" t="str">
        <f t="shared" si="52"/>
        <v/>
      </c>
    </row>
    <row r="378" spans="1:12" ht="12.75" customHeight="1">
      <c r="A378" s="645" t="str">
        <f>IF(B378&lt;&gt;"",MAX(A$28:A377)+1,IF(ISNA(HLOOKUP(DATE(YEAR($C$21),MONTH(C378),DAY(C378)),$C$21:$N$21,1,0)),"",MAX(A$28:A377)+1))</f>
        <v/>
      </c>
      <c r="B378" s="91" t="str">
        <f>IF(C378&lt;$K$16,"",IF(ISNA(HLOOKUP(DATE(YEAR($C$20),MONTH($C378),DAY($C378)),$C$20:$N$20,1,0)),"",MAX(B$28:B377)+1))</f>
        <v/>
      </c>
      <c r="C378" s="106">
        <f t="shared" si="58"/>
        <v>52656</v>
      </c>
      <c r="D378" s="795">
        <f t="shared" si="53"/>
        <v>0</v>
      </c>
      <c r="E378" s="795" t="str">
        <f>IF($A378="","",IF($A378=1,D$29*$F378*($C378-$C$28)/$K$17,
(D378*ROUND(($C378-VLOOKUP($A378-1,$A$28:$C378,3,0))/30,0)/12*$F378)
))</f>
        <v/>
      </c>
      <c r="F378" s="107">
        <f t="shared" si="54"/>
        <v>0.06</v>
      </c>
      <c r="G378" s="795">
        <f t="shared" si="50"/>
        <v>0</v>
      </c>
      <c r="H378" s="795">
        <f t="shared" si="55"/>
        <v>0</v>
      </c>
      <c r="I378" s="795">
        <f t="shared" si="56"/>
        <v>0</v>
      </c>
      <c r="J378" s="795">
        <f t="shared" si="57"/>
        <v>0</v>
      </c>
      <c r="K378" s="108">
        <f t="shared" si="51"/>
        <v>2044</v>
      </c>
      <c r="L378" s="646" t="str">
        <f t="shared" si="52"/>
        <v/>
      </c>
    </row>
    <row r="379" spans="1:12" ht="12.75" customHeight="1">
      <c r="A379" s="645">
        <f>IF(B379&lt;&gt;"",MAX(A$28:A378)+1,IF(ISNA(HLOOKUP(DATE(YEAR($C$21),MONTH(C379),DAY(C379)),$C$21:$N$21,1,0)),"",MAX(A$28:A378)+1))</f>
        <v>117</v>
      </c>
      <c r="B379" s="91">
        <f>IF(C379&lt;$K$16,"",IF(ISNA(HLOOKUP(DATE(YEAR($C$20),MONTH($C379),DAY($C379)),$C$20:$N$20,1,0)),"",MAX(B$28:B378)+1))</f>
        <v>105</v>
      </c>
      <c r="C379" s="106">
        <f t="shared" si="58"/>
        <v>52687</v>
      </c>
      <c r="D379" s="795">
        <f t="shared" si="53"/>
        <v>0</v>
      </c>
      <c r="E379" s="795">
        <f>IF($A379="","",IF($A379=1,D$29*$F379*($C379-$C$28)/$K$17,
(D379*ROUND(($C379-VLOOKUP($A379-1,$A$28:$C379,3,0))/30,0)/12*$F379)
))</f>
        <v>0</v>
      </c>
      <c r="F379" s="107">
        <f t="shared" si="54"/>
        <v>0.06</v>
      </c>
      <c r="G379" s="795">
        <f t="shared" si="50"/>
        <v>0</v>
      </c>
      <c r="H379" s="795">
        <f t="shared" si="55"/>
        <v>0</v>
      </c>
      <c r="I379" s="795">
        <f t="shared" si="56"/>
        <v>0</v>
      </c>
      <c r="J379" s="795">
        <f t="shared" si="57"/>
        <v>0</v>
      </c>
      <c r="K379" s="108">
        <f t="shared" si="51"/>
        <v>2044</v>
      </c>
      <c r="L379" s="646" t="str">
        <f t="shared" si="52"/>
        <v/>
      </c>
    </row>
    <row r="380" spans="1:12" ht="12.75" customHeight="1">
      <c r="A380" s="645" t="str">
        <f>IF(B380&lt;&gt;"",MAX(A$28:A379)+1,IF(ISNA(HLOOKUP(DATE(YEAR($C$21),MONTH(C380),DAY(C380)),$C$21:$N$21,1,0)),"",MAX(A$28:A379)+1))</f>
        <v/>
      </c>
      <c r="B380" s="91" t="str">
        <f>IF(C380&lt;$K$16,"",IF(ISNA(HLOOKUP(DATE(YEAR($C$20),MONTH($C380),DAY($C380)),$C$20:$N$20,1,0)),"",MAX(B$28:B379)+1))</f>
        <v/>
      </c>
      <c r="C380" s="106">
        <f t="shared" si="58"/>
        <v>52717</v>
      </c>
      <c r="D380" s="795">
        <f t="shared" si="53"/>
        <v>0</v>
      </c>
      <c r="E380" s="795" t="str">
        <f>IF($A380="","",IF($A380=1,D$29*$F380*($C380-$C$28)/$K$17,
(D380*ROUND(($C380-VLOOKUP($A380-1,$A$28:$C380,3,0))/30,0)/12*$F380)
))</f>
        <v/>
      </c>
      <c r="F380" s="107">
        <f t="shared" si="54"/>
        <v>0.06</v>
      </c>
      <c r="G380" s="795">
        <f t="shared" si="50"/>
        <v>0</v>
      </c>
      <c r="H380" s="795">
        <f t="shared" si="55"/>
        <v>0</v>
      </c>
      <c r="I380" s="795">
        <f t="shared" si="56"/>
        <v>0</v>
      </c>
      <c r="J380" s="795">
        <f t="shared" si="57"/>
        <v>0</v>
      </c>
      <c r="K380" s="108">
        <f t="shared" si="51"/>
        <v>2044</v>
      </c>
      <c r="L380" s="646" t="str">
        <f t="shared" si="52"/>
        <v/>
      </c>
    </row>
    <row r="381" spans="1:12" ht="12.75" customHeight="1">
      <c r="A381" s="645" t="str">
        <f>IF(B381&lt;&gt;"",MAX(A$28:A380)+1,IF(ISNA(HLOOKUP(DATE(YEAR($C$21),MONTH(C381),DAY(C381)),$C$21:$N$21,1,0)),"",MAX(A$28:A380)+1))</f>
        <v/>
      </c>
      <c r="B381" s="91" t="str">
        <f>IF(C381&lt;$K$16,"",IF(ISNA(HLOOKUP(DATE(YEAR($C$20),MONTH($C381),DAY($C381)),$C$20:$N$20,1,0)),"",MAX(B$28:B380)+1))</f>
        <v/>
      </c>
      <c r="C381" s="106">
        <f t="shared" si="58"/>
        <v>52748</v>
      </c>
      <c r="D381" s="795">
        <f t="shared" si="53"/>
        <v>0</v>
      </c>
      <c r="E381" s="795" t="str">
        <f>IF($A381="","",IF($A381=1,D$29*$F381*($C381-$C$28)/$K$17,
(D381*ROUND(($C381-VLOOKUP($A381-1,$A$28:$C381,3,0))/30,0)/12*$F381)
))</f>
        <v/>
      </c>
      <c r="F381" s="107">
        <f t="shared" si="54"/>
        <v>0.06</v>
      </c>
      <c r="G381" s="795">
        <f t="shared" si="50"/>
        <v>0</v>
      </c>
      <c r="H381" s="795">
        <f t="shared" si="55"/>
        <v>0</v>
      </c>
      <c r="I381" s="795">
        <f t="shared" si="56"/>
        <v>0</v>
      </c>
      <c r="J381" s="795">
        <f t="shared" si="57"/>
        <v>0</v>
      </c>
      <c r="K381" s="108">
        <f t="shared" si="51"/>
        <v>2044</v>
      </c>
      <c r="L381" s="646" t="str">
        <f t="shared" si="52"/>
        <v/>
      </c>
    </row>
    <row r="382" spans="1:12" ht="12.75" customHeight="1">
      <c r="A382" s="645">
        <f>IF(B382&lt;&gt;"",MAX(A$28:A381)+1,IF(ISNA(HLOOKUP(DATE(YEAR($C$21),MONTH(C382),DAY(C382)),$C$21:$N$21,1,0)),"",MAX(A$28:A381)+1))</f>
        <v>118</v>
      </c>
      <c r="B382" s="91">
        <f>IF(C382&lt;$K$16,"",IF(ISNA(HLOOKUP(DATE(YEAR($C$20),MONTH($C382),DAY($C382)),$C$20:$N$20,1,0)),"",MAX(B$28:B381)+1))</f>
        <v>106</v>
      </c>
      <c r="C382" s="106">
        <f t="shared" si="58"/>
        <v>52778</v>
      </c>
      <c r="D382" s="795">
        <f t="shared" si="53"/>
        <v>0</v>
      </c>
      <c r="E382" s="795">
        <f>IF($A382="","",IF($A382=1,D$29*$F382*($C382-$C$28)/$K$17,
(D382*ROUND(($C382-VLOOKUP($A382-1,$A$28:$C382,3,0))/30,0)/12*$F382)
))</f>
        <v>0</v>
      </c>
      <c r="F382" s="107">
        <f t="shared" si="54"/>
        <v>0.06</v>
      </c>
      <c r="G382" s="795">
        <f t="shared" si="50"/>
        <v>0</v>
      </c>
      <c r="H382" s="795">
        <f t="shared" si="55"/>
        <v>0</v>
      </c>
      <c r="I382" s="795">
        <f t="shared" si="56"/>
        <v>0</v>
      </c>
      <c r="J382" s="795">
        <f t="shared" si="57"/>
        <v>0</v>
      </c>
      <c r="K382" s="108">
        <f t="shared" si="51"/>
        <v>2044</v>
      </c>
      <c r="L382" s="646" t="str">
        <f t="shared" si="52"/>
        <v/>
      </c>
    </row>
    <row r="383" spans="1:12" ht="12.75" customHeight="1">
      <c r="A383" s="645" t="str">
        <f>IF(B383&lt;&gt;"",MAX(A$28:A382)+1,IF(ISNA(HLOOKUP(DATE(YEAR($C$21),MONTH(C383),DAY(C383)),$C$21:$N$21,1,0)),"",MAX(A$28:A382)+1))</f>
        <v/>
      </c>
      <c r="B383" s="91" t="str">
        <f>IF(C383&lt;$K$16,"",IF(ISNA(HLOOKUP(DATE(YEAR($C$20),MONTH($C383),DAY($C383)),$C$20:$N$20,1,0)),"",MAX(B$28:B382)+1))</f>
        <v/>
      </c>
      <c r="C383" s="106">
        <f t="shared" si="58"/>
        <v>52809</v>
      </c>
      <c r="D383" s="795">
        <f t="shared" si="53"/>
        <v>0</v>
      </c>
      <c r="E383" s="795" t="str">
        <f>IF($A383="","",IF($A383=1,D$29*$F383*($C383-$C$28)/$K$17,
(D383*ROUND(($C383-VLOOKUP($A383-1,$A$28:$C383,3,0))/30,0)/12*$F383)
))</f>
        <v/>
      </c>
      <c r="F383" s="107">
        <f t="shared" si="54"/>
        <v>0.06</v>
      </c>
      <c r="G383" s="795">
        <f t="shared" si="50"/>
        <v>0</v>
      </c>
      <c r="H383" s="795">
        <f t="shared" si="55"/>
        <v>0</v>
      </c>
      <c r="I383" s="795">
        <f t="shared" si="56"/>
        <v>0</v>
      </c>
      <c r="J383" s="795">
        <f t="shared" si="57"/>
        <v>0</v>
      </c>
      <c r="K383" s="108">
        <f t="shared" si="51"/>
        <v>2044</v>
      </c>
      <c r="L383" s="646" t="str">
        <f t="shared" si="52"/>
        <v/>
      </c>
    </row>
    <row r="384" spans="1:12" ht="12.75" customHeight="1">
      <c r="A384" s="645" t="str">
        <f>IF(B384&lt;&gt;"",MAX(A$28:A383)+1,IF(ISNA(HLOOKUP(DATE(YEAR($C$21),MONTH(C384),DAY(C384)),$C$21:$N$21,1,0)),"",MAX(A$28:A383)+1))</f>
        <v/>
      </c>
      <c r="B384" s="91" t="str">
        <f>IF(C384&lt;$K$16,"",IF(ISNA(HLOOKUP(DATE(YEAR($C$20),MONTH($C384),DAY($C384)),$C$20:$N$20,1,0)),"",MAX(B$28:B383)+1))</f>
        <v/>
      </c>
      <c r="C384" s="106">
        <f t="shared" si="58"/>
        <v>52840</v>
      </c>
      <c r="D384" s="795">
        <f t="shared" si="53"/>
        <v>0</v>
      </c>
      <c r="E384" s="795" t="str">
        <f>IF($A384="","",IF($A384=1,D$29*$F384*($C384-$C$28)/$K$17,
(D384*ROUND(($C384-VLOOKUP($A384-1,$A$28:$C384,3,0))/30,0)/12*$F384)
))</f>
        <v/>
      </c>
      <c r="F384" s="107">
        <f t="shared" si="54"/>
        <v>0.06</v>
      </c>
      <c r="G384" s="795">
        <f t="shared" si="50"/>
        <v>0</v>
      </c>
      <c r="H384" s="795">
        <f t="shared" si="55"/>
        <v>0</v>
      </c>
      <c r="I384" s="795">
        <f t="shared" si="56"/>
        <v>0</v>
      </c>
      <c r="J384" s="795">
        <f t="shared" si="57"/>
        <v>0</v>
      </c>
      <c r="K384" s="108">
        <f t="shared" si="51"/>
        <v>2044</v>
      </c>
      <c r="L384" s="646" t="str">
        <f t="shared" si="52"/>
        <v/>
      </c>
    </row>
    <row r="385" spans="1:12" ht="12.75" customHeight="1">
      <c r="A385" s="645">
        <f>IF(B385&lt;&gt;"",MAX(A$28:A384)+1,IF(ISNA(HLOOKUP(DATE(YEAR($C$21),MONTH(C385),DAY(C385)),$C$21:$N$21,1,0)),"",MAX(A$28:A384)+1))</f>
        <v>119</v>
      </c>
      <c r="B385" s="91">
        <f>IF(C385&lt;$K$16,"",IF(ISNA(HLOOKUP(DATE(YEAR($C$20),MONTH($C385),DAY($C385)),$C$20:$N$20,1,0)),"",MAX(B$28:B384)+1))</f>
        <v>107</v>
      </c>
      <c r="C385" s="106">
        <f t="shared" si="58"/>
        <v>52870</v>
      </c>
      <c r="D385" s="795">
        <f t="shared" si="53"/>
        <v>0</v>
      </c>
      <c r="E385" s="795">
        <f>IF($A385="","",IF($A385=1,D$29*$F385*($C385-$C$28)/$K$17,
(D385*ROUND(($C385-VLOOKUP($A385-1,$A$28:$C385,3,0))/30,0)/12*$F385)
))</f>
        <v>0</v>
      </c>
      <c r="F385" s="107">
        <f t="shared" si="54"/>
        <v>0.06</v>
      </c>
      <c r="G385" s="795">
        <f t="shared" si="50"/>
        <v>0</v>
      </c>
      <c r="H385" s="795">
        <f t="shared" si="55"/>
        <v>0</v>
      </c>
      <c r="I385" s="795">
        <f t="shared" si="56"/>
        <v>0</v>
      </c>
      <c r="J385" s="795">
        <f t="shared" si="57"/>
        <v>0</v>
      </c>
      <c r="K385" s="108">
        <f t="shared" si="51"/>
        <v>2044</v>
      </c>
      <c r="L385" s="646" t="str">
        <f t="shared" si="52"/>
        <v/>
      </c>
    </row>
    <row r="386" spans="1:12" ht="12.75" customHeight="1">
      <c r="A386" s="645" t="str">
        <f>IF(B386&lt;&gt;"",MAX(A$28:A385)+1,IF(ISNA(HLOOKUP(DATE(YEAR($C$21),MONTH(C386),DAY(C386)),$C$21:$N$21,1,0)),"",MAX(A$28:A385)+1))</f>
        <v/>
      </c>
      <c r="B386" s="91" t="str">
        <f>IF(C386&lt;$K$16,"",IF(ISNA(HLOOKUP(DATE(YEAR($C$20),MONTH($C386),DAY($C386)),$C$20:$N$20,1,0)),"",MAX(B$28:B385)+1))</f>
        <v/>
      </c>
      <c r="C386" s="106">
        <f t="shared" si="58"/>
        <v>52901</v>
      </c>
      <c r="D386" s="795">
        <f t="shared" si="53"/>
        <v>0</v>
      </c>
      <c r="E386" s="795" t="str">
        <f>IF($A386="","",IF($A386=1,D$29*$F386*($C386-$C$28)/$K$17,
(D386*ROUND(($C386-VLOOKUP($A386-1,$A$28:$C386,3,0))/30,0)/12*$F386)
))</f>
        <v/>
      </c>
      <c r="F386" s="107">
        <f t="shared" si="54"/>
        <v>0.06</v>
      </c>
      <c r="G386" s="795">
        <f t="shared" si="50"/>
        <v>0</v>
      </c>
      <c r="H386" s="795">
        <f t="shared" si="55"/>
        <v>0</v>
      </c>
      <c r="I386" s="795">
        <f t="shared" si="56"/>
        <v>0</v>
      </c>
      <c r="J386" s="795">
        <f t="shared" si="57"/>
        <v>0</v>
      </c>
      <c r="K386" s="108">
        <f t="shared" si="51"/>
        <v>2044</v>
      </c>
      <c r="L386" s="646" t="str">
        <f t="shared" si="52"/>
        <v/>
      </c>
    </row>
    <row r="387" spans="1:12" ht="12.75" customHeight="1">
      <c r="A387" s="645" t="str">
        <f>IF(B387&lt;&gt;"",MAX(A$28:A386)+1,IF(ISNA(HLOOKUP(DATE(YEAR($C$21),MONTH(C387),DAY(C387)),$C$21:$N$21,1,0)),"",MAX(A$28:A386)+1))</f>
        <v/>
      </c>
      <c r="B387" s="91" t="str">
        <f>IF(C387&lt;$K$16,"",IF(ISNA(HLOOKUP(DATE(YEAR($C$20),MONTH($C387),DAY($C387)),$C$20:$N$20,1,0)),"",MAX(B$28:B386)+1))</f>
        <v/>
      </c>
      <c r="C387" s="106">
        <f t="shared" si="58"/>
        <v>52931</v>
      </c>
      <c r="D387" s="795">
        <f t="shared" si="53"/>
        <v>0</v>
      </c>
      <c r="E387" s="795" t="str">
        <f>IF($A387="","",IF($A387=1,D$29*$F387*($C387-$C$28)/$K$17,
(D387*ROUND(($C387-VLOOKUP($A387-1,$A$28:$C387,3,0))/30,0)/12*$F387)
))</f>
        <v/>
      </c>
      <c r="F387" s="107">
        <f t="shared" si="54"/>
        <v>0.06</v>
      </c>
      <c r="G387" s="795">
        <f t="shared" si="50"/>
        <v>0</v>
      </c>
      <c r="H387" s="795">
        <f t="shared" si="55"/>
        <v>0</v>
      </c>
      <c r="I387" s="795">
        <f t="shared" si="56"/>
        <v>0</v>
      </c>
      <c r="J387" s="795">
        <f t="shared" si="57"/>
        <v>0</v>
      </c>
      <c r="K387" s="108">
        <f t="shared" si="51"/>
        <v>2044</v>
      </c>
      <c r="L387" s="646" t="str">
        <f t="shared" si="52"/>
        <v/>
      </c>
    </row>
    <row r="388" spans="1:12" ht="12.75" customHeight="1">
      <c r="A388" s="645">
        <f>IF(B388&lt;&gt;"",MAX(A$28:A387)+1,IF(ISNA(HLOOKUP(DATE(YEAR($C$21),MONTH(C388),DAY(C388)),$C$21:$N$21,1,0)),"",MAX(A$28:A387)+1))</f>
        <v>120</v>
      </c>
      <c r="B388" s="91">
        <f>IF(C388&lt;$K$16,"",IF(ISNA(HLOOKUP(DATE(YEAR($C$20),MONTH($C388),DAY($C388)),$C$20:$N$20,1,0)),"",MAX(B$28:B387)+1))</f>
        <v>108</v>
      </c>
      <c r="C388" s="106">
        <f t="shared" si="58"/>
        <v>52962</v>
      </c>
      <c r="D388" s="795">
        <f t="shared" si="53"/>
        <v>0</v>
      </c>
      <c r="E388" s="795">
        <f>IF($A388="","",IF($A388=1,D$29*$F388*($C388-$C$28)/$K$17,
(D388*ROUND(($C388-VLOOKUP($A388-1,$A$28:$C388,3,0))/30,0)/12*$F388)
))</f>
        <v>0</v>
      </c>
      <c r="F388" s="107">
        <f t="shared" si="54"/>
        <v>0.06</v>
      </c>
      <c r="G388" s="795">
        <f t="shared" si="50"/>
        <v>0</v>
      </c>
      <c r="H388" s="795">
        <f t="shared" si="55"/>
        <v>0</v>
      </c>
      <c r="I388" s="795">
        <f t="shared" si="56"/>
        <v>0</v>
      </c>
      <c r="J388" s="795">
        <f t="shared" si="57"/>
        <v>0</v>
      </c>
      <c r="K388" s="108">
        <f t="shared" si="51"/>
        <v>2044</v>
      </c>
      <c r="L388" s="646" t="str">
        <f t="shared" si="52"/>
        <v/>
      </c>
    </row>
    <row r="389" spans="1:12" ht="12.75" customHeight="1">
      <c r="A389" s="645" t="str">
        <f>IF(B389&lt;&gt;"",MAX(A$28:A388)+1,IF(ISNA(HLOOKUP(DATE(YEAR($C$21),MONTH(C389),DAY(C389)),$C$21:$N$21,1,0)),"",MAX(A$28:A388)+1))</f>
        <v/>
      </c>
      <c r="B389" s="91" t="str">
        <f>IF(C389&lt;$K$16,"",IF(ISNA(HLOOKUP(DATE(YEAR($C$20),MONTH($C389),DAY($C389)),$C$20:$N$20,1,0)),"",MAX(B$28:B388)+1))</f>
        <v/>
      </c>
      <c r="C389" s="106">
        <f t="shared" si="58"/>
        <v>52993</v>
      </c>
      <c r="D389" s="795">
        <f t="shared" si="53"/>
        <v>0</v>
      </c>
      <c r="E389" s="795" t="str">
        <f>IF($A389="","",IF($A389=1,D$29*$F389*($C389-$C$28)/$K$17,
(D389*ROUND(($C389-VLOOKUP($A389-1,$A$28:$C389,3,0))/30,0)/12*$F389)
))</f>
        <v/>
      </c>
      <c r="F389" s="107">
        <f t="shared" si="54"/>
        <v>0.06</v>
      </c>
      <c r="G389" s="795">
        <f t="shared" si="50"/>
        <v>0</v>
      </c>
      <c r="H389" s="795">
        <f t="shared" si="55"/>
        <v>0</v>
      </c>
      <c r="I389" s="795">
        <f t="shared" si="56"/>
        <v>0</v>
      </c>
      <c r="J389" s="795">
        <f t="shared" si="57"/>
        <v>0</v>
      </c>
      <c r="K389" s="108">
        <f t="shared" si="51"/>
        <v>2045</v>
      </c>
      <c r="L389" s="646" t="str">
        <f t="shared" si="52"/>
        <v/>
      </c>
    </row>
    <row r="390" spans="1:12" ht="12.75" customHeight="1">
      <c r="A390" s="645" t="str">
        <f>IF(B390&lt;&gt;"",MAX(A$28:A389)+1,IF(ISNA(HLOOKUP(DATE(YEAR($C$21),MONTH(C390),DAY(C390)),$C$21:$N$21,1,0)),"",MAX(A$28:A389)+1))</f>
        <v/>
      </c>
      <c r="B390" s="91" t="str">
        <f>IF(C390&lt;$K$16,"",IF(ISNA(HLOOKUP(DATE(YEAR($C$20),MONTH($C390),DAY($C390)),$C$20:$N$20,1,0)),"",MAX(B$28:B389)+1))</f>
        <v/>
      </c>
      <c r="C390" s="106">
        <f t="shared" si="58"/>
        <v>53021</v>
      </c>
      <c r="D390" s="795">
        <f t="shared" si="53"/>
        <v>0</v>
      </c>
      <c r="E390" s="795" t="str">
        <f>IF($A390="","",IF($A390=1,D$29*$F390*($C390-$C$28)/$K$17,
(D390*ROUND(($C390-VLOOKUP($A390-1,$A$28:$C390,3,0))/30,0)/12*$F390)
))</f>
        <v/>
      </c>
      <c r="F390" s="107">
        <f t="shared" si="54"/>
        <v>0.06</v>
      </c>
      <c r="G390" s="795">
        <f t="shared" si="50"/>
        <v>0</v>
      </c>
      <c r="H390" s="795">
        <f t="shared" si="55"/>
        <v>0</v>
      </c>
      <c r="I390" s="795">
        <f t="shared" si="56"/>
        <v>0</v>
      </c>
      <c r="J390" s="795">
        <f t="shared" si="57"/>
        <v>0</v>
      </c>
      <c r="K390" s="108">
        <f t="shared" si="51"/>
        <v>2045</v>
      </c>
      <c r="L390" s="646" t="str">
        <f t="shared" si="52"/>
        <v/>
      </c>
    </row>
    <row r="391" spans="1:12" ht="12.75" customHeight="1">
      <c r="A391" s="645">
        <f>IF(B391&lt;&gt;"",MAX(A$28:A390)+1,IF(ISNA(HLOOKUP(DATE(YEAR($C$21),MONTH(C391),DAY(C391)),$C$21:$N$21,1,0)),"",MAX(A$28:A390)+1))</f>
        <v>121</v>
      </c>
      <c r="B391" s="91">
        <f>IF(C391&lt;$K$16,"",IF(ISNA(HLOOKUP(DATE(YEAR($C$20),MONTH($C391),DAY($C391)),$C$20:$N$20,1,0)),"",MAX(B$28:B390)+1))</f>
        <v>109</v>
      </c>
      <c r="C391" s="106">
        <f t="shared" si="58"/>
        <v>53052</v>
      </c>
      <c r="D391" s="795">
        <f t="shared" si="53"/>
        <v>0</v>
      </c>
      <c r="E391" s="795">
        <f>IF($A391="","",IF($A391=1,D$29*$F391*($C391-$C$28)/$K$17,
(D391*ROUND(($C391-VLOOKUP($A391-1,$A$28:$C391,3,0))/30,0)/12*$F391)
))</f>
        <v>0</v>
      </c>
      <c r="F391" s="107">
        <f t="shared" si="54"/>
        <v>0.06</v>
      </c>
      <c r="G391" s="795">
        <f t="shared" si="50"/>
        <v>0</v>
      </c>
      <c r="H391" s="795">
        <f t="shared" si="55"/>
        <v>0</v>
      </c>
      <c r="I391" s="795">
        <f t="shared" si="56"/>
        <v>0</v>
      </c>
      <c r="J391" s="795">
        <f t="shared" si="57"/>
        <v>0</v>
      </c>
      <c r="K391" s="108">
        <f t="shared" si="51"/>
        <v>2045</v>
      </c>
      <c r="L391" s="646" t="str">
        <f t="shared" si="52"/>
        <v/>
      </c>
    </row>
    <row r="392" spans="1:12" ht="12.75" customHeight="1">
      <c r="A392" s="645" t="str">
        <f>IF(B392&lt;&gt;"",MAX(A$28:A391)+1,IF(ISNA(HLOOKUP(DATE(YEAR($C$21),MONTH(C392),DAY(C392)),$C$21:$N$21,1,0)),"",MAX(A$28:A391)+1))</f>
        <v/>
      </c>
      <c r="B392" s="91" t="str">
        <f>IF(C392&lt;$K$16,"",IF(ISNA(HLOOKUP(DATE(YEAR($C$20),MONTH($C392),DAY($C392)),$C$20:$N$20,1,0)),"",MAX(B$28:B391)+1))</f>
        <v/>
      </c>
      <c r="C392" s="106">
        <f t="shared" si="58"/>
        <v>53082</v>
      </c>
      <c r="D392" s="795">
        <f t="shared" si="53"/>
        <v>0</v>
      </c>
      <c r="E392" s="795" t="str">
        <f>IF($A392="","",IF($A392=1,D$29*$F392*($C392-$C$28)/$K$17,
(D392*ROUND(($C392-VLOOKUP($A392-1,$A$28:$C392,3,0))/30,0)/12*$F392)
))</f>
        <v/>
      </c>
      <c r="F392" s="107">
        <f t="shared" si="54"/>
        <v>0.06</v>
      </c>
      <c r="G392" s="795">
        <f t="shared" si="50"/>
        <v>0</v>
      </c>
      <c r="H392" s="795">
        <f t="shared" si="55"/>
        <v>0</v>
      </c>
      <c r="I392" s="795">
        <f t="shared" si="56"/>
        <v>0</v>
      </c>
      <c r="J392" s="795">
        <f t="shared" si="57"/>
        <v>0</v>
      </c>
      <c r="K392" s="108">
        <f t="shared" si="51"/>
        <v>2045</v>
      </c>
      <c r="L392" s="646" t="str">
        <f t="shared" si="52"/>
        <v/>
      </c>
    </row>
    <row r="393" spans="1:12" ht="12.75" customHeight="1">
      <c r="A393" s="645" t="str">
        <f>IF(B393&lt;&gt;"",MAX(A$28:A392)+1,IF(ISNA(HLOOKUP(DATE(YEAR($C$21),MONTH(C393),DAY(C393)),$C$21:$N$21,1,0)),"",MAX(A$28:A392)+1))</f>
        <v/>
      </c>
      <c r="B393" s="91" t="str">
        <f>IF(C393&lt;$K$16,"",IF(ISNA(HLOOKUP(DATE(YEAR($C$20),MONTH($C393),DAY($C393)),$C$20:$N$20,1,0)),"",MAX(B$28:B392)+1))</f>
        <v/>
      </c>
      <c r="C393" s="106">
        <f t="shared" si="58"/>
        <v>53113</v>
      </c>
      <c r="D393" s="795">
        <f t="shared" si="53"/>
        <v>0</v>
      </c>
      <c r="E393" s="795" t="str">
        <f>IF($A393="","",IF($A393=1,D$29*$F393*($C393-$C$28)/$K$17,
(D393*ROUND(($C393-VLOOKUP($A393-1,$A$28:$C393,3,0))/30,0)/12*$F393)
))</f>
        <v/>
      </c>
      <c r="F393" s="107">
        <f t="shared" si="54"/>
        <v>0.06</v>
      </c>
      <c r="G393" s="795">
        <f t="shared" si="50"/>
        <v>0</v>
      </c>
      <c r="H393" s="795">
        <f t="shared" si="55"/>
        <v>0</v>
      </c>
      <c r="I393" s="795">
        <f t="shared" si="56"/>
        <v>0</v>
      </c>
      <c r="J393" s="795">
        <f t="shared" si="57"/>
        <v>0</v>
      </c>
      <c r="K393" s="108">
        <f t="shared" si="51"/>
        <v>2045</v>
      </c>
      <c r="L393" s="646" t="str">
        <f t="shared" si="52"/>
        <v/>
      </c>
    </row>
    <row r="394" spans="1:12" ht="12.75" customHeight="1">
      <c r="A394" s="645">
        <f>IF(B394&lt;&gt;"",MAX(A$28:A393)+1,IF(ISNA(HLOOKUP(DATE(YEAR($C$21),MONTH(C394),DAY(C394)),$C$21:$N$21,1,0)),"",MAX(A$28:A393)+1))</f>
        <v>122</v>
      </c>
      <c r="B394" s="91">
        <f>IF(C394&lt;$K$16,"",IF(ISNA(HLOOKUP(DATE(YEAR($C$20),MONTH($C394),DAY($C394)),$C$20:$N$20,1,0)),"",MAX(B$28:B393)+1))</f>
        <v>110</v>
      </c>
      <c r="C394" s="106">
        <f t="shared" si="58"/>
        <v>53143</v>
      </c>
      <c r="D394" s="795">
        <f t="shared" si="53"/>
        <v>0</v>
      </c>
      <c r="E394" s="795">
        <f>IF($A394="","",IF($A394=1,D$29*$F394*($C394-$C$28)/$K$17,
(D394*ROUND(($C394-VLOOKUP($A394-1,$A$28:$C394,3,0))/30,0)/12*$F394)
))</f>
        <v>0</v>
      </c>
      <c r="F394" s="107">
        <f t="shared" si="54"/>
        <v>0.06</v>
      </c>
      <c r="G394" s="795">
        <f t="shared" si="50"/>
        <v>0</v>
      </c>
      <c r="H394" s="795">
        <f t="shared" si="55"/>
        <v>0</v>
      </c>
      <c r="I394" s="795">
        <f t="shared" si="56"/>
        <v>0</v>
      </c>
      <c r="J394" s="795">
        <f t="shared" si="57"/>
        <v>0</v>
      </c>
      <c r="K394" s="108">
        <f t="shared" si="51"/>
        <v>2045</v>
      </c>
      <c r="L394" s="646" t="str">
        <f t="shared" si="52"/>
        <v/>
      </c>
    </row>
    <row r="395" spans="1:12" ht="12.75" customHeight="1">
      <c r="A395" s="645" t="str">
        <f>IF(B395&lt;&gt;"",MAX(A$28:A394)+1,IF(ISNA(HLOOKUP(DATE(YEAR($C$21),MONTH(C395),DAY(C395)),$C$21:$N$21,1,0)),"",MAX(A$28:A394)+1))</f>
        <v/>
      </c>
      <c r="B395" s="91" t="str">
        <f>IF(C395&lt;$K$16,"",IF(ISNA(HLOOKUP(DATE(YEAR($C$20),MONTH($C395),DAY($C395)),$C$20:$N$20,1,0)),"",MAX(B$28:B394)+1))</f>
        <v/>
      </c>
      <c r="C395" s="106">
        <f t="shared" si="58"/>
        <v>53174</v>
      </c>
      <c r="D395" s="795">
        <f t="shared" si="53"/>
        <v>0</v>
      </c>
      <c r="E395" s="795" t="str">
        <f>IF($A395="","",IF($A395=1,D$29*$F395*($C395-$C$28)/$K$17,
(D395*ROUND(($C395-VLOOKUP($A395-1,$A$28:$C395,3,0))/30,0)/12*$F395)
))</f>
        <v/>
      </c>
      <c r="F395" s="107">
        <f t="shared" si="54"/>
        <v>0.06</v>
      </c>
      <c r="G395" s="795">
        <f t="shared" si="50"/>
        <v>0</v>
      </c>
      <c r="H395" s="795">
        <f t="shared" si="55"/>
        <v>0</v>
      </c>
      <c r="I395" s="795">
        <f t="shared" si="56"/>
        <v>0</v>
      </c>
      <c r="J395" s="795">
        <f t="shared" si="57"/>
        <v>0</v>
      </c>
      <c r="K395" s="108">
        <f t="shared" si="51"/>
        <v>2045</v>
      </c>
      <c r="L395" s="646" t="str">
        <f t="shared" si="52"/>
        <v/>
      </c>
    </row>
    <row r="396" spans="1:12" ht="12.75" customHeight="1">
      <c r="A396" s="645" t="str">
        <f>IF(B396&lt;&gt;"",MAX(A$28:A395)+1,IF(ISNA(HLOOKUP(DATE(YEAR($C$21),MONTH(C396),DAY(C396)),$C$21:$N$21,1,0)),"",MAX(A$28:A395)+1))</f>
        <v/>
      </c>
      <c r="B396" s="91" t="str">
        <f>IF(C396&lt;$K$16,"",IF(ISNA(HLOOKUP(DATE(YEAR($C$20),MONTH($C396),DAY($C396)),$C$20:$N$20,1,0)),"",MAX(B$28:B395)+1))</f>
        <v/>
      </c>
      <c r="C396" s="106">
        <f t="shared" si="58"/>
        <v>53205</v>
      </c>
      <c r="D396" s="795">
        <f t="shared" si="53"/>
        <v>0</v>
      </c>
      <c r="E396" s="795" t="str">
        <f>IF($A396="","",IF($A396=1,D$29*$F396*($C396-$C$28)/$K$17,
(D396*ROUND(($C396-VLOOKUP($A396-1,$A$28:$C396,3,0))/30,0)/12*$F396)
))</f>
        <v/>
      </c>
      <c r="F396" s="107">
        <f t="shared" si="54"/>
        <v>0.06</v>
      </c>
      <c r="G396" s="795">
        <f t="shared" si="50"/>
        <v>0</v>
      </c>
      <c r="H396" s="795">
        <f t="shared" si="55"/>
        <v>0</v>
      </c>
      <c r="I396" s="795">
        <f t="shared" si="56"/>
        <v>0</v>
      </c>
      <c r="J396" s="795">
        <f t="shared" si="57"/>
        <v>0</v>
      </c>
      <c r="K396" s="108">
        <f t="shared" si="51"/>
        <v>2045</v>
      </c>
      <c r="L396" s="646" t="str">
        <f t="shared" si="52"/>
        <v/>
      </c>
    </row>
    <row r="397" spans="1:12" ht="12.75" customHeight="1">
      <c r="A397" s="645">
        <f>IF(B397&lt;&gt;"",MAX(A$28:A396)+1,IF(ISNA(HLOOKUP(DATE(YEAR($C$21),MONTH(C397),DAY(C397)),$C$21:$N$21,1,0)),"",MAX(A$28:A396)+1))</f>
        <v>123</v>
      </c>
      <c r="B397" s="91">
        <f>IF(C397&lt;$K$16,"",IF(ISNA(HLOOKUP(DATE(YEAR($C$20),MONTH($C397),DAY($C397)),$C$20:$N$20,1,0)),"",MAX(B$28:B396)+1))</f>
        <v>111</v>
      </c>
      <c r="C397" s="106">
        <f t="shared" si="58"/>
        <v>53235</v>
      </c>
      <c r="D397" s="795">
        <f t="shared" si="53"/>
        <v>0</v>
      </c>
      <c r="E397" s="795">
        <f>IF($A397="","",IF($A397=1,D$29*$F397*($C397-$C$28)/$K$17,
(D397*ROUND(($C397-VLOOKUP($A397-1,$A$28:$C397,3,0))/30,0)/12*$F397)
))</f>
        <v>0</v>
      </c>
      <c r="F397" s="107">
        <f t="shared" si="54"/>
        <v>0.06</v>
      </c>
      <c r="G397" s="795">
        <f t="shared" si="50"/>
        <v>0</v>
      </c>
      <c r="H397" s="795">
        <f t="shared" si="55"/>
        <v>0</v>
      </c>
      <c r="I397" s="795">
        <f t="shared" si="56"/>
        <v>0</v>
      </c>
      <c r="J397" s="795">
        <f t="shared" si="57"/>
        <v>0</v>
      </c>
      <c r="K397" s="108">
        <f t="shared" si="51"/>
        <v>2045</v>
      </c>
      <c r="L397" s="646" t="str">
        <f t="shared" si="52"/>
        <v/>
      </c>
    </row>
    <row r="398" spans="1:12" ht="12.75" customHeight="1">
      <c r="A398" s="645" t="str">
        <f>IF(B398&lt;&gt;"",MAX(A$28:A397)+1,IF(ISNA(HLOOKUP(DATE(YEAR($C$21),MONTH(C398),DAY(C398)),$C$21:$N$21,1,0)),"",MAX(A$28:A397)+1))</f>
        <v/>
      </c>
      <c r="B398" s="91" t="str">
        <f>IF(C398&lt;$K$16,"",IF(ISNA(HLOOKUP(DATE(YEAR($C$20),MONTH($C398),DAY($C398)),$C$20:$N$20,1,0)),"",MAX(B$28:B397)+1))</f>
        <v/>
      </c>
      <c r="C398" s="106">
        <f t="shared" si="58"/>
        <v>53266</v>
      </c>
      <c r="D398" s="795">
        <f t="shared" si="53"/>
        <v>0</v>
      </c>
      <c r="E398" s="795" t="str">
        <f>IF($A398="","",IF($A398=1,D$29*$F398*($C398-$C$28)/$K$17,
(D398*ROUND(($C398-VLOOKUP($A398-1,$A$28:$C398,3,0))/30,0)/12*$F398)
))</f>
        <v/>
      </c>
      <c r="F398" s="107">
        <f t="shared" si="54"/>
        <v>0.06</v>
      </c>
      <c r="G398" s="795">
        <f t="shared" si="50"/>
        <v>0</v>
      </c>
      <c r="H398" s="795">
        <f t="shared" si="55"/>
        <v>0</v>
      </c>
      <c r="I398" s="795">
        <f t="shared" si="56"/>
        <v>0</v>
      </c>
      <c r="J398" s="795">
        <f t="shared" si="57"/>
        <v>0</v>
      </c>
      <c r="K398" s="108">
        <f t="shared" si="51"/>
        <v>2045</v>
      </c>
      <c r="L398" s="646" t="str">
        <f t="shared" si="52"/>
        <v/>
      </c>
    </row>
    <row r="399" spans="1:12" ht="12.75" customHeight="1">
      <c r="A399" s="645" t="str">
        <f>IF(B399&lt;&gt;"",MAX(A$28:A398)+1,IF(ISNA(HLOOKUP(DATE(YEAR($C$21),MONTH(C399),DAY(C399)),$C$21:$N$21,1,0)),"",MAX(A$28:A398)+1))</f>
        <v/>
      </c>
      <c r="B399" s="91" t="str">
        <f>IF(C399&lt;$K$16,"",IF(ISNA(HLOOKUP(DATE(YEAR($C$20),MONTH($C399),DAY($C399)),$C$20:$N$20,1,0)),"",MAX(B$28:B398)+1))</f>
        <v/>
      </c>
      <c r="C399" s="106">
        <f t="shared" si="58"/>
        <v>53296</v>
      </c>
      <c r="D399" s="795">
        <f t="shared" si="53"/>
        <v>0</v>
      </c>
      <c r="E399" s="795" t="str">
        <f>IF($A399="","",IF($A399=1,D$29*$F399*($C399-$C$28)/$K$17,
(D399*ROUND(($C399-VLOOKUP($A399-1,$A$28:$C399,3,0))/30,0)/12*$F399)
))</f>
        <v/>
      </c>
      <c r="F399" s="107">
        <f t="shared" si="54"/>
        <v>0.06</v>
      </c>
      <c r="G399" s="795">
        <f t="shared" si="50"/>
        <v>0</v>
      </c>
      <c r="H399" s="795">
        <f t="shared" si="55"/>
        <v>0</v>
      </c>
      <c r="I399" s="795">
        <f t="shared" si="56"/>
        <v>0</v>
      </c>
      <c r="J399" s="795">
        <f t="shared" si="57"/>
        <v>0</v>
      </c>
      <c r="K399" s="108">
        <f t="shared" si="51"/>
        <v>2045</v>
      </c>
      <c r="L399" s="646" t="str">
        <f t="shared" si="52"/>
        <v/>
      </c>
    </row>
    <row r="400" spans="1:12" ht="12.75" customHeight="1">
      <c r="A400" s="645">
        <f>IF(B400&lt;&gt;"",MAX(A$28:A399)+1,IF(ISNA(HLOOKUP(DATE(YEAR($C$21),MONTH(C400),DAY(C400)),$C$21:$N$21,1,0)),"",MAX(A$28:A399)+1))</f>
        <v>124</v>
      </c>
      <c r="B400" s="91">
        <f>IF(C400&lt;$K$16,"",IF(ISNA(HLOOKUP(DATE(YEAR($C$20),MONTH($C400),DAY($C400)),$C$20:$N$20,1,0)),"",MAX(B$28:B399)+1))</f>
        <v>112</v>
      </c>
      <c r="C400" s="106">
        <f t="shared" si="58"/>
        <v>53327</v>
      </c>
      <c r="D400" s="795">
        <f t="shared" si="53"/>
        <v>0</v>
      </c>
      <c r="E400" s="795">
        <f>IF($A400="","",IF($A400=1,D$29*$F400*($C400-$C$28)/$K$17,
(D400*ROUND(($C400-VLOOKUP($A400-1,$A$28:$C400,3,0))/30,0)/12*$F400)
))</f>
        <v>0</v>
      </c>
      <c r="F400" s="107">
        <f t="shared" si="54"/>
        <v>0.06</v>
      </c>
      <c r="G400" s="795">
        <f t="shared" si="50"/>
        <v>0</v>
      </c>
      <c r="H400" s="795">
        <f t="shared" si="55"/>
        <v>0</v>
      </c>
      <c r="I400" s="795">
        <f t="shared" si="56"/>
        <v>0</v>
      </c>
      <c r="J400" s="795">
        <f t="shared" si="57"/>
        <v>0</v>
      </c>
      <c r="K400" s="108">
        <f t="shared" si="51"/>
        <v>2045</v>
      </c>
      <c r="L400" s="646" t="str">
        <f t="shared" si="52"/>
        <v/>
      </c>
    </row>
    <row r="401" spans="1:12" ht="12.75" customHeight="1">
      <c r="A401" s="645" t="str">
        <f>IF(B401&lt;&gt;"",MAX(A$28:A400)+1,IF(ISNA(HLOOKUP(DATE(YEAR($C$21),MONTH(C401),DAY(C401)),$C$21:$N$21,1,0)),"",MAX(A$28:A400)+1))</f>
        <v/>
      </c>
      <c r="B401" s="91" t="str">
        <f>IF(C401&lt;$K$16,"",IF(ISNA(HLOOKUP(DATE(YEAR($C$20),MONTH($C401),DAY($C401)),$C$20:$N$20,1,0)),"",MAX(B$28:B400)+1))</f>
        <v/>
      </c>
      <c r="C401" s="106">
        <f t="shared" si="58"/>
        <v>53358</v>
      </c>
      <c r="D401" s="795">
        <f t="shared" si="53"/>
        <v>0</v>
      </c>
      <c r="E401" s="795" t="str">
        <f>IF($A401="","",IF($A401=1,D$29*$F401*($C401-$C$28)/$K$17,
(D401*ROUND(($C401-VLOOKUP($A401-1,$A$28:$C401,3,0))/30,0)/12*$F401)
))</f>
        <v/>
      </c>
      <c r="F401" s="107">
        <f t="shared" si="54"/>
        <v>0.06</v>
      </c>
      <c r="G401" s="795">
        <f t="shared" si="50"/>
        <v>0</v>
      </c>
      <c r="H401" s="795">
        <f t="shared" si="55"/>
        <v>0</v>
      </c>
      <c r="I401" s="795">
        <f t="shared" si="56"/>
        <v>0</v>
      </c>
      <c r="J401" s="795">
        <f t="shared" si="57"/>
        <v>0</v>
      </c>
      <c r="K401" s="108">
        <f t="shared" si="51"/>
        <v>2046</v>
      </c>
      <c r="L401" s="646" t="str">
        <f t="shared" si="52"/>
        <v/>
      </c>
    </row>
    <row r="402" spans="1:12" ht="12.75" customHeight="1">
      <c r="A402" s="645" t="str">
        <f>IF(B402&lt;&gt;"",MAX(A$28:A401)+1,IF(ISNA(HLOOKUP(DATE(YEAR($C$21),MONTH(C402),DAY(C402)),$C$21:$N$21,1,0)),"",MAX(A$28:A401)+1))</f>
        <v/>
      </c>
      <c r="B402" s="91" t="str">
        <f>IF(C402&lt;$K$16,"",IF(ISNA(HLOOKUP(DATE(YEAR($C$20),MONTH($C402),DAY($C402)),$C$20:$N$20,1,0)),"",MAX(B$28:B401)+1))</f>
        <v/>
      </c>
      <c r="C402" s="106">
        <f t="shared" si="58"/>
        <v>53386</v>
      </c>
      <c r="D402" s="795">
        <f t="shared" si="53"/>
        <v>0</v>
      </c>
      <c r="E402" s="795" t="str">
        <f>IF($A402="","",IF($A402=1,D$29*$F402*($C402-$C$28)/$K$17,
(D402*ROUND(($C402-VLOOKUP($A402-1,$A$28:$C402,3,0))/30,0)/12*$F402)
))</f>
        <v/>
      </c>
      <c r="F402" s="107">
        <f t="shared" si="54"/>
        <v>0.06</v>
      </c>
      <c r="G402" s="795">
        <f t="shared" si="50"/>
        <v>0</v>
      </c>
      <c r="H402" s="795">
        <f t="shared" si="55"/>
        <v>0</v>
      </c>
      <c r="I402" s="795">
        <f t="shared" si="56"/>
        <v>0</v>
      </c>
      <c r="J402" s="795">
        <f t="shared" si="57"/>
        <v>0</v>
      </c>
      <c r="K402" s="108">
        <f t="shared" si="51"/>
        <v>2046</v>
      </c>
      <c r="L402" s="646" t="str">
        <f t="shared" si="52"/>
        <v/>
      </c>
    </row>
    <row r="403" spans="1:12" ht="12.75" customHeight="1">
      <c r="A403" s="645">
        <f>IF(B403&lt;&gt;"",MAX(A$28:A402)+1,IF(ISNA(HLOOKUP(DATE(YEAR($C$21),MONTH(C403),DAY(C403)),$C$21:$N$21,1,0)),"",MAX(A$28:A402)+1))</f>
        <v>125</v>
      </c>
      <c r="B403" s="91">
        <f>IF(C403&lt;$K$16,"",IF(ISNA(HLOOKUP(DATE(YEAR($C$20),MONTH($C403),DAY($C403)),$C$20:$N$20,1,0)),"",MAX(B$28:B402)+1))</f>
        <v>113</v>
      </c>
      <c r="C403" s="106">
        <f t="shared" si="58"/>
        <v>53417</v>
      </c>
      <c r="D403" s="795">
        <f t="shared" si="53"/>
        <v>0</v>
      </c>
      <c r="E403" s="795">
        <f>IF($A403="","",IF($A403=1,D$29*$F403*($C403-$C$28)/$K$17,
(D403*ROUND(($C403-VLOOKUP($A403-1,$A$28:$C403,3,0))/30,0)/12*$F403)
))</f>
        <v>0</v>
      </c>
      <c r="F403" s="107">
        <f t="shared" si="54"/>
        <v>0.06</v>
      </c>
      <c r="G403" s="795">
        <f t="shared" si="50"/>
        <v>0</v>
      </c>
      <c r="H403" s="795">
        <f t="shared" si="55"/>
        <v>0</v>
      </c>
      <c r="I403" s="795">
        <f t="shared" si="56"/>
        <v>0</v>
      </c>
      <c r="J403" s="795">
        <f t="shared" si="57"/>
        <v>0</v>
      </c>
      <c r="K403" s="108">
        <f t="shared" si="51"/>
        <v>2046</v>
      </c>
      <c r="L403" s="646" t="str">
        <f t="shared" si="52"/>
        <v/>
      </c>
    </row>
    <row r="404" spans="1:12" ht="12.75" customHeight="1">
      <c r="A404" s="645" t="str">
        <f>IF(B404&lt;&gt;"",MAX(A$28:A403)+1,IF(ISNA(HLOOKUP(DATE(YEAR($C$21),MONTH(C404),DAY(C404)),$C$21:$N$21,1,0)),"",MAX(A$28:A403)+1))</f>
        <v/>
      </c>
      <c r="B404" s="91" t="str">
        <f>IF(C404&lt;$K$16,"",IF(ISNA(HLOOKUP(DATE(YEAR($C$20),MONTH($C404),DAY($C404)),$C$20:$N$20,1,0)),"",MAX(B$28:B403)+1))</f>
        <v/>
      </c>
      <c r="C404" s="106">
        <f t="shared" si="58"/>
        <v>53447</v>
      </c>
      <c r="D404" s="795">
        <f t="shared" si="53"/>
        <v>0</v>
      </c>
      <c r="E404" s="795" t="str">
        <f>IF($A404="","",IF($A404=1,D$29*$F404*($C404-$C$28)/$K$17,
(D404*ROUND(($C404-VLOOKUP($A404-1,$A$28:$C404,3,0))/30,0)/12*$F404)
))</f>
        <v/>
      </c>
      <c r="F404" s="107">
        <f t="shared" si="54"/>
        <v>0.06</v>
      </c>
      <c r="G404" s="795">
        <f t="shared" si="50"/>
        <v>0</v>
      </c>
      <c r="H404" s="795">
        <f t="shared" si="55"/>
        <v>0</v>
      </c>
      <c r="I404" s="795">
        <f t="shared" si="56"/>
        <v>0</v>
      </c>
      <c r="J404" s="795">
        <f t="shared" si="57"/>
        <v>0</v>
      </c>
      <c r="K404" s="108">
        <f t="shared" si="51"/>
        <v>2046</v>
      </c>
      <c r="L404" s="646" t="str">
        <f t="shared" si="52"/>
        <v/>
      </c>
    </row>
    <row r="405" spans="1:12" ht="12.75" customHeight="1">
      <c r="A405" s="645" t="str">
        <f>IF(B405&lt;&gt;"",MAX(A$28:A404)+1,IF(ISNA(HLOOKUP(DATE(YEAR($C$21),MONTH(C405),DAY(C405)),$C$21:$N$21,1,0)),"",MAX(A$28:A404)+1))</f>
        <v/>
      </c>
      <c r="B405" s="91" t="str">
        <f>IF(C405&lt;$K$16,"",IF(ISNA(HLOOKUP(DATE(YEAR($C$20),MONTH($C405),DAY($C405)),$C$20:$N$20,1,0)),"",MAX(B$28:B404)+1))</f>
        <v/>
      </c>
      <c r="C405" s="106">
        <f t="shared" si="58"/>
        <v>53478</v>
      </c>
      <c r="D405" s="795">
        <f t="shared" si="53"/>
        <v>0</v>
      </c>
      <c r="E405" s="795" t="str">
        <f>IF($A405="","",IF($A405=1,D$29*$F405*($C405-$C$28)/$K$17,
(D405*ROUND(($C405-VLOOKUP($A405-1,$A$28:$C405,3,0))/30,0)/12*$F405)
))</f>
        <v/>
      </c>
      <c r="F405" s="107">
        <f t="shared" si="54"/>
        <v>0.06</v>
      </c>
      <c r="G405" s="795">
        <f t="shared" si="50"/>
        <v>0</v>
      </c>
      <c r="H405" s="795">
        <f t="shared" si="55"/>
        <v>0</v>
      </c>
      <c r="I405" s="795">
        <f t="shared" si="56"/>
        <v>0</v>
      </c>
      <c r="J405" s="795">
        <f t="shared" si="57"/>
        <v>0</v>
      </c>
      <c r="K405" s="108">
        <f t="shared" si="51"/>
        <v>2046</v>
      </c>
      <c r="L405" s="646" t="str">
        <f t="shared" si="52"/>
        <v/>
      </c>
    </row>
    <row r="406" spans="1:12" ht="12.75" customHeight="1">
      <c r="A406" s="645">
        <f>IF(B406&lt;&gt;"",MAX(A$28:A405)+1,IF(ISNA(HLOOKUP(DATE(YEAR($C$21),MONTH(C406),DAY(C406)),$C$21:$N$21,1,0)),"",MAX(A$28:A405)+1))</f>
        <v>126</v>
      </c>
      <c r="B406" s="91">
        <f>IF(C406&lt;$K$16,"",IF(ISNA(HLOOKUP(DATE(YEAR($C$20),MONTH($C406),DAY($C406)),$C$20:$N$20,1,0)),"",MAX(B$28:B405)+1))</f>
        <v>114</v>
      </c>
      <c r="C406" s="106">
        <f t="shared" si="58"/>
        <v>53508</v>
      </c>
      <c r="D406" s="795">
        <f t="shared" si="53"/>
        <v>0</v>
      </c>
      <c r="E406" s="795">
        <f>IF($A406="","",IF($A406=1,D$29*$F406*($C406-$C$28)/$K$17,
(D406*ROUND(($C406-VLOOKUP($A406-1,$A$28:$C406,3,0))/30,0)/12*$F406)
))</f>
        <v>0</v>
      </c>
      <c r="F406" s="107">
        <f t="shared" si="54"/>
        <v>0.06</v>
      </c>
      <c r="G406" s="795">
        <f t="shared" si="50"/>
        <v>0</v>
      </c>
      <c r="H406" s="795">
        <f t="shared" si="55"/>
        <v>0</v>
      </c>
      <c r="I406" s="795">
        <f t="shared" si="56"/>
        <v>0</v>
      </c>
      <c r="J406" s="795">
        <f t="shared" si="57"/>
        <v>0</v>
      </c>
      <c r="K406" s="108">
        <f t="shared" si="51"/>
        <v>2046</v>
      </c>
      <c r="L406" s="646" t="str">
        <f t="shared" si="52"/>
        <v/>
      </c>
    </row>
    <row r="407" spans="1:12" ht="12.75" customHeight="1">
      <c r="A407" s="645" t="str">
        <f>IF(B407&lt;&gt;"",MAX(A$28:A406)+1,IF(ISNA(HLOOKUP(DATE(YEAR($C$21),MONTH(C407),DAY(C407)),$C$21:$N$21,1,0)),"",MAX(A$28:A406)+1))</f>
        <v/>
      </c>
      <c r="B407" s="91" t="str">
        <f>IF(C407&lt;$K$16,"",IF(ISNA(HLOOKUP(DATE(YEAR($C$20),MONTH($C407),DAY($C407)),$C$20:$N$20,1,0)),"",MAX(B$28:B406)+1))</f>
        <v/>
      </c>
      <c r="C407" s="106">
        <f t="shared" si="58"/>
        <v>53539</v>
      </c>
      <c r="D407" s="795">
        <f t="shared" si="53"/>
        <v>0</v>
      </c>
      <c r="E407" s="795" t="str">
        <f>IF($A407="","",IF($A407=1,D$29*$F407*($C407-$C$28)/$K$17,
(D407*ROUND(($C407-VLOOKUP($A407-1,$A$28:$C407,3,0))/30,0)/12*$F407)
))</f>
        <v/>
      </c>
      <c r="F407" s="107">
        <f t="shared" si="54"/>
        <v>0.06</v>
      </c>
      <c r="G407" s="795">
        <f t="shared" si="50"/>
        <v>0</v>
      </c>
      <c r="H407" s="795">
        <f t="shared" si="55"/>
        <v>0</v>
      </c>
      <c r="I407" s="795">
        <f t="shared" si="56"/>
        <v>0</v>
      </c>
      <c r="J407" s="795">
        <f t="shared" si="57"/>
        <v>0</v>
      </c>
      <c r="K407" s="108">
        <f t="shared" si="51"/>
        <v>2046</v>
      </c>
      <c r="L407" s="646" t="str">
        <f t="shared" si="52"/>
        <v/>
      </c>
    </row>
    <row r="408" spans="1:12" ht="12.75" customHeight="1">
      <c r="A408" s="645" t="str">
        <f>IF(B408&lt;&gt;"",MAX(A$28:A407)+1,IF(ISNA(HLOOKUP(DATE(YEAR($C$21),MONTH(C408),DAY(C408)),$C$21:$N$21,1,0)),"",MAX(A$28:A407)+1))</f>
        <v/>
      </c>
      <c r="B408" s="91" t="str">
        <f>IF(C408&lt;$K$16,"",IF(ISNA(HLOOKUP(DATE(YEAR($C$20),MONTH($C408),DAY($C408)),$C$20:$N$20,1,0)),"",MAX(B$28:B407)+1))</f>
        <v/>
      </c>
      <c r="C408" s="106">
        <f t="shared" si="58"/>
        <v>53570</v>
      </c>
      <c r="D408" s="795">
        <f t="shared" si="53"/>
        <v>0</v>
      </c>
      <c r="E408" s="795" t="str">
        <f>IF($A408="","",IF($A408=1,D$29*$F408*($C408-$C$28)/$K$17,
(D408*ROUND(($C408-VLOOKUP($A408-1,$A$28:$C408,3,0))/30,0)/12*$F408)
))</f>
        <v/>
      </c>
      <c r="F408" s="107">
        <f t="shared" si="54"/>
        <v>0.06</v>
      </c>
      <c r="G408" s="795">
        <f t="shared" si="50"/>
        <v>0</v>
      </c>
      <c r="H408" s="795">
        <f t="shared" si="55"/>
        <v>0</v>
      </c>
      <c r="I408" s="795">
        <f t="shared" si="56"/>
        <v>0</v>
      </c>
      <c r="J408" s="795">
        <f t="shared" si="57"/>
        <v>0</v>
      </c>
      <c r="K408" s="108">
        <f t="shared" si="51"/>
        <v>2046</v>
      </c>
      <c r="L408" s="646" t="str">
        <f t="shared" si="52"/>
        <v/>
      </c>
    </row>
    <row r="409" spans="1:12" ht="12.75" customHeight="1">
      <c r="A409" s="645">
        <f>IF(B409&lt;&gt;"",MAX(A$28:A408)+1,IF(ISNA(HLOOKUP(DATE(YEAR($C$21),MONTH(C409),DAY(C409)),$C$21:$N$21,1,0)),"",MAX(A$28:A408)+1))</f>
        <v>127</v>
      </c>
      <c r="B409" s="91">
        <f>IF(C409&lt;$K$16,"",IF(ISNA(HLOOKUP(DATE(YEAR($C$20),MONTH($C409),DAY($C409)),$C$20:$N$20,1,0)),"",MAX(B$28:B408)+1))</f>
        <v>115</v>
      </c>
      <c r="C409" s="106">
        <f t="shared" si="58"/>
        <v>53600</v>
      </c>
      <c r="D409" s="795">
        <f t="shared" si="53"/>
        <v>0</v>
      </c>
      <c r="E409" s="795">
        <f>IF($A409="","",IF($A409=1,D$29*$F409*($C409-$C$28)/$K$17,
(D409*ROUND(($C409-VLOOKUP($A409-1,$A$28:$C409,3,0))/30,0)/12*$F409)
))</f>
        <v>0</v>
      </c>
      <c r="F409" s="107">
        <f t="shared" si="54"/>
        <v>0.06</v>
      </c>
      <c r="G409" s="795">
        <f t="shared" si="50"/>
        <v>0</v>
      </c>
      <c r="H409" s="795">
        <f t="shared" si="55"/>
        <v>0</v>
      </c>
      <c r="I409" s="795">
        <f t="shared" si="56"/>
        <v>0</v>
      </c>
      <c r="J409" s="795">
        <f t="shared" si="57"/>
        <v>0</v>
      </c>
      <c r="K409" s="108">
        <f t="shared" si="51"/>
        <v>2046</v>
      </c>
      <c r="L409" s="646" t="str">
        <f t="shared" si="52"/>
        <v/>
      </c>
    </row>
    <row r="410" spans="1:12" ht="12.75" customHeight="1">
      <c r="A410" s="645" t="str">
        <f>IF(B410&lt;&gt;"",MAX(A$28:A409)+1,IF(ISNA(HLOOKUP(DATE(YEAR($C$21),MONTH(C410),DAY(C410)),$C$21:$N$21,1,0)),"",MAX(A$28:A409)+1))</f>
        <v/>
      </c>
      <c r="B410" s="91" t="str">
        <f>IF(C410&lt;$K$16,"",IF(ISNA(HLOOKUP(DATE(YEAR($C$20),MONTH($C410),DAY($C410)),$C$20:$N$20,1,0)),"",MAX(B$28:B409)+1))</f>
        <v/>
      </c>
      <c r="C410" s="106">
        <f t="shared" si="58"/>
        <v>53631</v>
      </c>
      <c r="D410" s="795">
        <f t="shared" si="53"/>
        <v>0</v>
      </c>
      <c r="E410" s="795" t="str">
        <f>IF($A410="","",IF($A410=1,D$29*$F410*($C410-$C$28)/$K$17,
(D410*ROUND(($C410-VLOOKUP($A410-1,$A$28:$C410,3,0))/30,0)/12*$F410)
))</f>
        <v/>
      </c>
      <c r="F410" s="107">
        <f t="shared" si="54"/>
        <v>0.06</v>
      </c>
      <c r="G410" s="795">
        <f t="shared" si="50"/>
        <v>0</v>
      </c>
      <c r="H410" s="795">
        <f t="shared" si="55"/>
        <v>0</v>
      </c>
      <c r="I410" s="795">
        <f t="shared" si="56"/>
        <v>0</v>
      </c>
      <c r="J410" s="795">
        <f t="shared" si="57"/>
        <v>0</v>
      </c>
      <c r="K410" s="108">
        <f t="shared" si="51"/>
        <v>2046</v>
      </c>
      <c r="L410" s="646" t="str">
        <f t="shared" si="52"/>
        <v/>
      </c>
    </row>
    <row r="411" spans="1:12" ht="12.75" customHeight="1">
      <c r="A411" s="645" t="str">
        <f>IF(B411&lt;&gt;"",MAX(A$28:A410)+1,IF(ISNA(HLOOKUP(DATE(YEAR($C$21),MONTH(C411),DAY(C411)),$C$21:$N$21,1,0)),"",MAX(A$28:A410)+1))</f>
        <v/>
      </c>
      <c r="B411" s="91" t="str">
        <f>IF(C411&lt;$K$16,"",IF(ISNA(HLOOKUP(DATE(YEAR($C$20),MONTH($C411),DAY($C411)),$C$20:$N$20,1,0)),"",MAX(B$28:B410)+1))</f>
        <v/>
      </c>
      <c r="C411" s="106">
        <f t="shared" si="58"/>
        <v>53661</v>
      </c>
      <c r="D411" s="795">
        <f t="shared" si="53"/>
        <v>0</v>
      </c>
      <c r="E411" s="795" t="str">
        <f>IF($A411="","",IF($A411=1,D$29*$F411*($C411-$C$28)/$K$17,
(D411*ROUND(($C411-VLOOKUP($A411-1,$A$28:$C411,3,0))/30,0)/12*$F411)
))</f>
        <v/>
      </c>
      <c r="F411" s="107">
        <f t="shared" si="54"/>
        <v>0.06</v>
      </c>
      <c r="G411" s="795">
        <f t="shared" si="50"/>
        <v>0</v>
      </c>
      <c r="H411" s="795">
        <f t="shared" si="55"/>
        <v>0</v>
      </c>
      <c r="I411" s="795">
        <f t="shared" si="56"/>
        <v>0</v>
      </c>
      <c r="J411" s="795">
        <f t="shared" si="57"/>
        <v>0</v>
      </c>
      <c r="K411" s="108">
        <f t="shared" si="51"/>
        <v>2046</v>
      </c>
      <c r="L411" s="646" t="str">
        <f t="shared" si="52"/>
        <v/>
      </c>
    </row>
    <row r="412" spans="1:12" ht="12.75" customHeight="1">
      <c r="A412" s="645">
        <f>IF(B412&lt;&gt;"",MAX(A$28:A411)+1,IF(ISNA(HLOOKUP(DATE(YEAR($C$21),MONTH(C412),DAY(C412)),$C$21:$N$21,1,0)),"",MAX(A$28:A411)+1))</f>
        <v>128</v>
      </c>
      <c r="B412" s="91">
        <f>IF(C412&lt;$K$16,"",IF(ISNA(HLOOKUP(DATE(YEAR($C$20),MONTH($C412),DAY($C412)),$C$20:$N$20,1,0)),"",MAX(B$28:B411)+1))</f>
        <v>116</v>
      </c>
      <c r="C412" s="106">
        <f t="shared" si="58"/>
        <v>53692</v>
      </c>
      <c r="D412" s="795">
        <f t="shared" si="53"/>
        <v>0</v>
      </c>
      <c r="E412" s="795">
        <f>IF($A412="","",IF($A412=1,D$29*$F412*($C412-$C$28)/$K$17,
(D412*ROUND(($C412-VLOOKUP($A412-1,$A$28:$C412,3,0))/30,0)/12*$F412)
))</f>
        <v>0</v>
      </c>
      <c r="F412" s="107">
        <f t="shared" si="54"/>
        <v>0.06</v>
      </c>
      <c r="G412" s="795">
        <f t="shared" ref="G412:G475" si="59">IF($A$26=1,I412,H412)</f>
        <v>0</v>
      </c>
      <c r="H412" s="795">
        <f t="shared" si="55"/>
        <v>0</v>
      </c>
      <c r="I412" s="795">
        <f t="shared" si="56"/>
        <v>0</v>
      </c>
      <c r="J412" s="795">
        <f t="shared" si="57"/>
        <v>0</v>
      </c>
      <c r="K412" s="108">
        <f t="shared" ref="K412:K475" si="60">YEAR(C412)</f>
        <v>2046</v>
      </c>
      <c r="L412" s="646" t="str">
        <f t="shared" ref="L412:L475" si="61">IF(AND(D412&gt;1,D413&lt;1),C412,"")</f>
        <v/>
      </c>
    </row>
    <row r="413" spans="1:12" ht="12.75" customHeight="1">
      <c r="A413" s="645" t="str">
        <f>IF(B413&lt;&gt;"",MAX(A$28:A412)+1,IF(ISNA(HLOOKUP(DATE(YEAR($C$21),MONTH(C413),DAY(C413)),$C$21:$N$21,1,0)),"",MAX(A$28:A412)+1))</f>
        <v/>
      </c>
      <c r="B413" s="91" t="str">
        <f>IF(C413&lt;$K$16,"",IF(ISNA(HLOOKUP(DATE(YEAR($C$20),MONTH($C413),DAY($C413)),$C$20:$N$20,1,0)),"",MAX(B$28:B412)+1))</f>
        <v/>
      </c>
      <c r="C413" s="106">
        <f t="shared" si="58"/>
        <v>53723</v>
      </c>
      <c r="D413" s="795">
        <f t="shared" ref="D413:D476" si="62">D412-G412</f>
        <v>0</v>
      </c>
      <c r="E413" s="795" t="str">
        <f>IF($A413="","",IF($A413=1,D$29*$F413*($C413-$C$28)/$K$17,
(D413*ROUND(($C413-VLOOKUP($A413-1,$A$28:$C413,3,0))/30,0)/12*$F413)
))</f>
        <v/>
      </c>
      <c r="F413" s="107">
        <f t="shared" ref="F413:F476" si="63">IF(C413&gt;=$E$16,$E$15,$C$15)</f>
        <v>0.06</v>
      </c>
      <c r="G413" s="795">
        <f t="shared" si="59"/>
        <v>0</v>
      </c>
      <c r="H413" s="795">
        <f t="shared" ref="H413:H476" si="64">IF(B413="",0,MIN(D413,$E$14*$K$15/$H$16))</f>
        <v>0</v>
      </c>
      <c r="I413" s="795">
        <f t="shared" ref="I413:I476" si="65">IF(B413="",0,MIN(D412,IF(C413&gt;$E$16,$H$18,$H$15)/$H$16-E413))</f>
        <v>0</v>
      </c>
      <c r="J413" s="795">
        <f t="shared" ref="J413:J476" si="66">SUM(E413,G413)</f>
        <v>0</v>
      </c>
      <c r="K413" s="108">
        <f t="shared" si="60"/>
        <v>2047</v>
      </c>
      <c r="L413" s="646" t="str">
        <f t="shared" si="61"/>
        <v/>
      </c>
    </row>
    <row r="414" spans="1:12" ht="12.75" customHeight="1">
      <c r="A414" s="645" t="str">
        <f>IF(B414&lt;&gt;"",MAX(A$28:A413)+1,IF(ISNA(HLOOKUP(DATE(YEAR($C$21),MONTH(C414),DAY(C414)),$C$21:$N$21,1,0)),"",MAX(A$28:A413)+1))</f>
        <v/>
      </c>
      <c r="B414" s="91" t="str">
        <f>IF(C414&lt;$K$16,"",IF(ISNA(HLOOKUP(DATE(YEAR($C$20),MONTH($C414),DAY($C414)),$C$20:$N$20,1,0)),"",MAX(B$28:B413)+1))</f>
        <v/>
      </c>
      <c r="C414" s="106">
        <f t="shared" ref="C414:C477" si="67">DATE(YEAR(C413),MONTH(C413)+2,1)-1</f>
        <v>53751</v>
      </c>
      <c r="D414" s="795">
        <f t="shared" si="62"/>
        <v>0</v>
      </c>
      <c r="E414" s="795" t="str">
        <f>IF($A414="","",IF($A414=1,D$29*$F414*($C414-$C$28)/$K$17,
(D414*ROUND(($C414-VLOOKUP($A414-1,$A$28:$C414,3,0))/30,0)/12*$F414)
))</f>
        <v/>
      </c>
      <c r="F414" s="107">
        <f t="shared" si="63"/>
        <v>0.06</v>
      </c>
      <c r="G414" s="795">
        <f t="shared" si="59"/>
        <v>0</v>
      </c>
      <c r="H414" s="795">
        <f t="shared" si="64"/>
        <v>0</v>
      </c>
      <c r="I414" s="795">
        <f t="shared" si="65"/>
        <v>0</v>
      </c>
      <c r="J414" s="795">
        <f t="shared" si="66"/>
        <v>0</v>
      </c>
      <c r="K414" s="108">
        <f t="shared" si="60"/>
        <v>2047</v>
      </c>
      <c r="L414" s="646" t="str">
        <f t="shared" si="61"/>
        <v/>
      </c>
    </row>
    <row r="415" spans="1:12" ht="12.75" customHeight="1">
      <c r="A415" s="645">
        <f>IF(B415&lt;&gt;"",MAX(A$28:A414)+1,IF(ISNA(HLOOKUP(DATE(YEAR($C$21),MONTH(C415),DAY(C415)),$C$21:$N$21,1,0)),"",MAX(A$28:A414)+1))</f>
        <v>129</v>
      </c>
      <c r="B415" s="91">
        <f>IF(C415&lt;$K$16,"",IF(ISNA(HLOOKUP(DATE(YEAR($C$20),MONTH($C415),DAY($C415)),$C$20:$N$20,1,0)),"",MAX(B$28:B414)+1))</f>
        <v>117</v>
      </c>
      <c r="C415" s="106">
        <f t="shared" si="67"/>
        <v>53782</v>
      </c>
      <c r="D415" s="795">
        <f t="shared" si="62"/>
        <v>0</v>
      </c>
      <c r="E415" s="795">
        <f>IF($A415="","",IF($A415=1,D$29*$F415*($C415-$C$28)/$K$17,
(D415*ROUND(($C415-VLOOKUP($A415-1,$A$28:$C415,3,0))/30,0)/12*$F415)
))</f>
        <v>0</v>
      </c>
      <c r="F415" s="107">
        <f t="shared" si="63"/>
        <v>0.06</v>
      </c>
      <c r="G415" s="795">
        <f t="shared" si="59"/>
        <v>0</v>
      </c>
      <c r="H415" s="795">
        <f t="shared" si="64"/>
        <v>0</v>
      </c>
      <c r="I415" s="795">
        <f t="shared" si="65"/>
        <v>0</v>
      </c>
      <c r="J415" s="795">
        <f t="shared" si="66"/>
        <v>0</v>
      </c>
      <c r="K415" s="108">
        <f t="shared" si="60"/>
        <v>2047</v>
      </c>
      <c r="L415" s="646" t="str">
        <f t="shared" si="61"/>
        <v/>
      </c>
    </row>
    <row r="416" spans="1:12" ht="12.75" customHeight="1">
      <c r="A416" s="645" t="str">
        <f>IF(B416&lt;&gt;"",MAX(A$28:A415)+1,IF(ISNA(HLOOKUP(DATE(YEAR($C$21),MONTH(C416),DAY(C416)),$C$21:$N$21,1,0)),"",MAX(A$28:A415)+1))</f>
        <v/>
      </c>
      <c r="B416" s="91" t="str">
        <f>IF(C416&lt;$K$16,"",IF(ISNA(HLOOKUP(DATE(YEAR($C$20),MONTH($C416),DAY($C416)),$C$20:$N$20,1,0)),"",MAX(B$28:B415)+1))</f>
        <v/>
      </c>
      <c r="C416" s="106">
        <f t="shared" si="67"/>
        <v>53812</v>
      </c>
      <c r="D416" s="795">
        <f t="shared" si="62"/>
        <v>0</v>
      </c>
      <c r="E416" s="795" t="str">
        <f>IF($A416="","",IF($A416=1,D$29*$F416*($C416-$C$28)/$K$17,
(D416*ROUND(($C416-VLOOKUP($A416-1,$A$28:$C416,3,0))/30,0)/12*$F416)
))</f>
        <v/>
      </c>
      <c r="F416" s="107">
        <f t="shared" si="63"/>
        <v>0.06</v>
      </c>
      <c r="G416" s="795">
        <f t="shared" si="59"/>
        <v>0</v>
      </c>
      <c r="H416" s="795">
        <f t="shared" si="64"/>
        <v>0</v>
      </c>
      <c r="I416" s="795">
        <f t="shared" si="65"/>
        <v>0</v>
      </c>
      <c r="J416" s="795">
        <f t="shared" si="66"/>
        <v>0</v>
      </c>
      <c r="K416" s="108">
        <f t="shared" si="60"/>
        <v>2047</v>
      </c>
      <c r="L416" s="646" t="str">
        <f t="shared" si="61"/>
        <v/>
      </c>
    </row>
    <row r="417" spans="1:12" ht="12.75" customHeight="1">
      <c r="A417" s="645" t="str">
        <f>IF(B417&lt;&gt;"",MAX(A$28:A416)+1,IF(ISNA(HLOOKUP(DATE(YEAR($C$21),MONTH(C417),DAY(C417)),$C$21:$N$21,1,0)),"",MAX(A$28:A416)+1))</f>
        <v/>
      </c>
      <c r="B417" s="91" t="str">
        <f>IF(C417&lt;$K$16,"",IF(ISNA(HLOOKUP(DATE(YEAR($C$20),MONTH($C417),DAY($C417)),$C$20:$N$20,1,0)),"",MAX(B$28:B416)+1))</f>
        <v/>
      </c>
      <c r="C417" s="106">
        <f t="shared" si="67"/>
        <v>53843</v>
      </c>
      <c r="D417" s="795">
        <f t="shared" si="62"/>
        <v>0</v>
      </c>
      <c r="E417" s="795" t="str">
        <f>IF($A417="","",IF($A417=1,D$29*$F417*($C417-$C$28)/$K$17,
(D417*ROUND(($C417-VLOOKUP($A417-1,$A$28:$C417,3,0))/30,0)/12*$F417)
))</f>
        <v/>
      </c>
      <c r="F417" s="107">
        <f t="shared" si="63"/>
        <v>0.06</v>
      </c>
      <c r="G417" s="795">
        <f t="shared" si="59"/>
        <v>0</v>
      </c>
      <c r="H417" s="795">
        <f t="shared" si="64"/>
        <v>0</v>
      </c>
      <c r="I417" s="795">
        <f t="shared" si="65"/>
        <v>0</v>
      </c>
      <c r="J417" s="795">
        <f t="shared" si="66"/>
        <v>0</v>
      </c>
      <c r="K417" s="108">
        <f t="shared" si="60"/>
        <v>2047</v>
      </c>
      <c r="L417" s="646" t="str">
        <f t="shared" si="61"/>
        <v/>
      </c>
    </row>
    <row r="418" spans="1:12" ht="12.75" customHeight="1">
      <c r="A418" s="645">
        <f>IF(B418&lt;&gt;"",MAX(A$28:A417)+1,IF(ISNA(HLOOKUP(DATE(YEAR($C$21),MONTH(C418),DAY(C418)),$C$21:$N$21,1,0)),"",MAX(A$28:A417)+1))</f>
        <v>130</v>
      </c>
      <c r="B418" s="91">
        <f>IF(C418&lt;$K$16,"",IF(ISNA(HLOOKUP(DATE(YEAR($C$20),MONTH($C418),DAY($C418)),$C$20:$N$20,1,0)),"",MAX(B$28:B417)+1))</f>
        <v>118</v>
      </c>
      <c r="C418" s="106">
        <f t="shared" si="67"/>
        <v>53873</v>
      </c>
      <c r="D418" s="795">
        <f t="shared" si="62"/>
        <v>0</v>
      </c>
      <c r="E418" s="795">
        <f>IF($A418="","",IF($A418=1,D$29*$F418*($C418-$C$28)/$K$17,
(D418*ROUND(($C418-VLOOKUP($A418-1,$A$28:$C418,3,0))/30,0)/12*$F418)
))</f>
        <v>0</v>
      </c>
      <c r="F418" s="107">
        <f t="shared" si="63"/>
        <v>0.06</v>
      </c>
      <c r="G418" s="795">
        <f t="shared" si="59"/>
        <v>0</v>
      </c>
      <c r="H418" s="795">
        <f t="shared" si="64"/>
        <v>0</v>
      </c>
      <c r="I418" s="795">
        <f t="shared" si="65"/>
        <v>0</v>
      </c>
      <c r="J418" s="795">
        <f t="shared" si="66"/>
        <v>0</v>
      </c>
      <c r="K418" s="108">
        <f t="shared" si="60"/>
        <v>2047</v>
      </c>
      <c r="L418" s="646" t="str">
        <f t="shared" si="61"/>
        <v/>
      </c>
    </row>
    <row r="419" spans="1:12" ht="12.75" customHeight="1">
      <c r="A419" s="645" t="str">
        <f>IF(B419&lt;&gt;"",MAX(A$28:A418)+1,IF(ISNA(HLOOKUP(DATE(YEAR($C$21),MONTH(C419),DAY(C419)),$C$21:$N$21,1,0)),"",MAX(A$28:A418)+1))</f>
        <v/>
      </c>
      <c r="B419" s="91" t="str">
        <f>IF(C419&lt;$K$16,"",IF(ISNA(HLOOKUP(DATE(YEAR($C$20),MONTH($C419),DAY($C419)),$C$20:$N$20,1,0)),"",MAX(B$28:B418)+1))</f>
        <v/>
      </c>
      <c r="C419" s="106">
        <f t="shared" si="67"/>
        <v>53904</v>
      </c>
      <c r="D419" s="795">
        <f t="shared" si="62"/>
        <v>0</v>
      </c>
      <c r="E419" s="795" t="str">
        <f>IF($A419="","",IF($A419=1,D$29*$F419*($C419-$C$28)/$K$17,
(D419*ROUND(($C419-VLOOKUP($A419-1,$A$28:$C419,3,0))/30,0)/12*$F419)
))</f>
        <v/>
      </c>
      <c r="F419" s="107">
        <f t="shared" si="63"/>
        <v>0.06</v>
      </c>
      <c r="G419" s="795">
        <f t="shared" si="59"/>
        <v>0</v>
      </c>
      <c r="H419" s="795">
        <f t="shared" si="64"/>
        <v>0</v>
      </c>
      <c r="I419" s="795">
        <f t="shared" si="65"/>
        <v>0</v>
      </c>
      <c r="J419" s="795">
        <f t="shared" si="66"/>
        <v>0</v>
      </c>
      <c r="K419" s="108">
        <f t="shared" si="60"/>
        <v>2047</v>
      </c>
      <c r="L419" s="646" t="str">
        <f t="shared" si="61"/>
        <v/>
      </c>
    </row>
    <row r="420" spans="1:12" ht="12.75" customHeight="1">
      <c r="A420" s="645" t="str">
        <f>IF(B420&lt;&gt;"",MAX(A$28:A419)+1,IF(ISNA(HLOOKUP(DATE(YEAR($C$21),MONTH(C420),DAY(C420)),$C$21:$N$21,1,0)),"",MAX(A$28:A419)+1))</f>
        <v/>
      </c>
      <c r="B420" s="91" t="str">
        <f>IF(C420&lt;$K$16,"",IF(ISNA(HLOOKUP(DATE(YEAR($C$20),MONTH($C420),DAY($C420)),$C$20:$N$20,1,0)),"",MAX(B$28:B419)+1))</f>
        <v/>
      </c>
      <c r="C420" s="106">
        <f t="shared" si="67"/>
        <v>53935</v>
      </c>
      <c r="D420" s="795">
        <f t="shared" si="62"/>
        <v>0</v>
      </c>
      <c r="E420" s="795" t="str">
        <f>IF($A420="","",IF($A420=1,D$29*$F420*($C420-$C$28)/$K$17,
(D420*ROUND(($C420-VLOOKUP($A420-1,$A$28:$C420,3,0))/30,0)/12*$F420)
))</f>
        <v/>
      </c>
      <c r="F420" s="107">
        <f t="shared" si="63"/>
        <v>0.06</v>
      </c>
      <c r="G420" s="795">
        <f t="shared" si="59"/>
        <v>0</v>
      </c>
      <c r="H420" s="795">
        <f t="shared" si="64"/>
        <v>0</v>
      </c>
      <c r="I420" s="795">
        <f t="shared" si="65"/>
        <v>0</v>
      </c>
      <c r="J420" s="795">
        <f t="shared" si="66"/>
        <v>0</v>
      </c>
      <c r="K420" s="108">
        <f t="shared" si="60"/>
        <v>2047</v>
      </c>
      <c r="L420" s="646" t="str">
        <f t="shared" si="61"/>
        <v/>
      </c>
    </row>
    <row r="421" spans="1:12" ht="12.75" customHeight="1">
      <c r="A421" s="645">
        <f>IF(B421&lt;&gt;"",MAX(A$28:A420)+1,IF(ISNA(HLOOKUP(DATE(YEAR($C$21),MONTH(C421),DAY(C421)),$C$21:$N$21,1,0)),"",MAX(A$28:A420)+1))</f>
        <v>131</v>
      </c>
      <c r="B421" s="91">
        <f>IF(C421&lt;$K$16,"",IF(ISNA(HLOOKUP(DATE(YEAR($C$20),MONTH($C421),DAY($C421)),$C$20:$N$20,1,0)),"",MAX(B$28:B420)+1))</f>
        <v>119</v>
      </c>
      <c r="C421" s="106">
        <f t="shared" si="67"/>
        <v>53965</v>
      </c>
      <c r="D421" s="795">
        <f t="shared" si="62"/>
        <v>0</v>
      </c>
      <c r="E421" s="795">
        <f>IF($A421="","",IF($A421=1,D$29*$F421*($C421-$C$28)/$K$17,
(D421*ROUND(($C421-VLOOKUP($A421-1,$A$28:$C421,3,0))/30,0)/12*$F421)
))</f>
        <v>0</v>
      </c>
      <c r="F421" s="107">
        <f t="shared" si="63"/>
        <v>0.06</v>
      </c>
      <c r="G421" s="795">
        <f t="shared" si="59"/>
        <v>0</v>
      </c>
      <c r="H421" s="795">
        <f t="shared" si="64"/>
        <v>0</v>
      </c>
      <c r="I421" s="795">
        <f t="shared" si="65"/>
        <v>0</v>
      </c>
      <c r="J421" s="795">
        <f t="shared" si="66"/>
        <v>0</v>
      </c>
      <c r="K421" s="108">
        <f t="shared" si="60"/>
        <v>2047</v>
      </c>
      <c r="L421" s="646" t="str">
        <f t="shared" si="61"/>
        <v/>
      </c>
    </row>
    <row r="422" spans="1:12" ht="12.75" customHeight="1">
      <c r="A422" s="645" t="str">
        <f>IF(B422&lt;&gt;"",MAX(A$28:A421)+1,IF(ISNA(HLOOKUP(DATE(YEAR($C$21),MONTH(C422),DAY(C422)),$C$21:$N$21,1,0)),"",MAX(A$28:A421)+1))</f>
        <v/>
      </c>
      <c r="B422" s="91" t="str">
        <f>IF(C422&lt;$K$16,"",IF(ISNA(HLOOKUP(DATE(YEAR($C$20),MONTH($C422),DAY($C422)),$C$20:$N$20,1,0)),"",MAX(B$28:B421)+1))</f>
        <v/>
      </c>
      <c r="C422" s="106">
        <f t="shared" si="67"/>
        <v>53996</v>
      </c>
      <c r="D422" s="795">
        <f t="shared" si="62"/>
        <v>0</v>
      </c>
      <c r="E422" s="795" t="str">
        <f>IF($A422="","",IF($A422=1,D$29*$F422*($C422-$C$28)/$K$17,
(D422*ROUND(($C422-VLOOKUP($A422-1,$A$28:$C422,3,0))/30,0)/12*$F422)
))</f>
        <v/>
      </c>
      <c r="F422" s="107">
        <f t="shared" si="63"/>
        <v>0.06</v>
      </c>
      <c r="G422" s="795">
        <f t="shared" si="59"/>
        <v>0</v>
      </c>
      <c r="H422" s="795">
        <f t="shared" si="64"/>
        <v>0</v>
      </c>
      <c r="I422" s="795">
        <f t="shared" si="65"/>
        <v>0</v>
      </c>
      <c r="J422" s="795">
        <f t="shared" si="66"/>
        <v>0</v>
      </c>
      <c r="K422" s="108">
        <f t="shared" si="60"/>
        <v>2047</v>
      </c>
      <c r="L422" s="646" t="str">
        <f t="shared" si="61"/>
        <v/>
      </c>
    </row>
    <row r="423" spans="1:12" ht="12.75" customHeight="1">
      <c r="A423" s="645" t="str">
        <f>IF(B423&lt;&gt;"",MAX(A$28:A422)+1,IF(ISNA(HLOOKUP(DATE(YEAR($C$21),MONTH(C423),DAY(C423)),$C$21:$N$21,1,0)),"",MAX(A$28:A422)+1))</f>
        <v/>
      </c>
      <c r="B423" s="91" t="str">
        <f>IF(C423&lt;$K$16,"",IF(ISNA(HLOOKUP(DATE(YEAR($C$20),MONTH($C423),DAY($C423)),$C$20:$N$20,1,0)),"",MAX(B$28:B422)+1))</f>
        <v/>
      </c>
      <c r="C423" s="106">
        <f t="shared" si="67"/>
        <v>54026</v>
      </c>
      <c r="D423" s="795">
        <f t="shared" si="62"/>
        <v>0</v>
      </c>
      <c r="E423" s="795" t="str">
        <f>IF($A423="","",IF($A423=1,D$29*$F423*($C423-$C$28)/$K$17,
(D423*ROUND(($C423-VLOOKUP($A423-1,$A$28:$C423,3,0))/30,0)/12*$F423)
))</f>
        <v/>
      </c>
      <c r="F423" s="107">
        <f t="shared" si="63"/>
        <v>0.06</v>
      </c>
      <c r="G423" s="795">
        <f t="shared" si="59"/>
        <v>0</v>
      </c>
      <c r="H423" s="795">
        <f t="shared" si="64"/>
        <v>0</v>
      </c>
      <c r="I423" s="795">
        <f t="shared" si="65"/>
        <v>0</v>
      </c>
      <c r="J423" s="795">
        <f t="shared" si="66"/>
        <v>0</v>
      </c>
      <c r="K423" s="108">
        <f t="shared" si="60"/>
        <v>2047</v>
      </c>
      <c r="L423" s="646" t="str">
        <f t="shared" si="61"/>
        <v/>
      </c>
    </row>
    <row r="424" spans="1:12" ht="12.75" customHeight="1">
      <c r="A424" s="645">
        <f>IF(B424&lt;&gt;"",MAX(A$28:A423)+1,IF(ISNA(HLOOKUP(DATE(YEAR($C$21),MONTH(C424),DAY(C424)),$C$21:$N$21,1,0)),"",MAX(A$28:A423)+1))</f>
        <v>132</v>
      </c>
      <c r="B424" s="91">
        <f>IF(C424&lt;$K$16,"",IF(ISNA(HLOOKUP(DATE(YEAR($C$20),MONTH($C424),DAY($C424)),$C$20:$N$20,1,0)),"",MAX(B$28:B423)+1))</f>
        <v>120</v>
      </c>
      <c r="C424" s="106">
        <f t="shared" si="67"/>
        <v>54057</v>
      </c>
      <c r="D424" s="795">
        <f t="shared" si="62"/>
        <v>0</v>
      </c>
      <c r="E424" s="795">
        <f>IF($A424="","",IF($A424=1,D$29*$F424*($C424-$C$28)/$K$17,
(D424*ROUND(($C424-VLOOKUP($A424-1,$A$28:$C424,3,0))/30,0)/12*$F424)
))</f>
        <v>0</v>
      </c>
      <c r="F424" s="107">
        <f t="shared" si="63"/>
        <v>0.06</v>
      </c>
      <c r="G424" s="795">
        <f t="shared" si="59"/>
        <v>0</v>
      </c>
      <c r="H424" s="795">
        <f t="shared" si="64"/>
        <v>0</v>
      </c>
      <c r="I424" s="795">
        <f t="shared" si="65"/>
        <v>0</v>
      </c>
      <c r="J424" s="795">
        <f t="shared" si="66"/>
        <v>0</v>
      </c>
      <c r="K424" s="108">
        <f t="shared" si="60"/>
        <v>2047</v>
      </c>
      <c r="L424" s="646" t="str">
        <f t="shared" si="61"/>
        <v/>
      </c>
    </row>
    <row r="425" spans="1:12" ht="12.75" customHeight="1">
      <c r="A425" s="645" t="str">
        <f>IF(B425&lt;&gt;"",MAX(A$28:A424)+1,IF(ISNA(HLOOKUP(DATE(YEAR($C$21),MONTH(C425),DAY(C425)),$C$21:$N$21,1,0)),"",MAX(A$28:A424)+1))</f>
        <v/>
      </c>
      <c r="B425" s="91" t="str">
        <f>IF(C425&lt;$K$16,"",IF(ISNA(HLOOKUP(DATE(YEAR($C$20),MONTH($C425),DAY($C425)),$C$20:$N$20,1,0)),"",MAX(B$28:B424)+1))</f>
        <v/>
      </c>
      <c r="C425" s="106">
        <f t="shared" si="67"/>
        <v>54088</v>
      </c>
      <c r="D425" s="795">
        <f t="shared" si="62"/>
        <v>0</v>
      </c>
      <c r="E425" s="795" t="str">
        <f>IF($A425="","",IF($A425=1,D$29*$F425*($C425-$C$28)/$K$17,
(D425*ROUND(($C425-VLOOKUP($A425-1,$A$28:$C425,3,0))/30,0)/12*$F425)
))</f>
        <v/>
      </c>
      <c r="F425" s="107">
        <f t="shared" si="63"/>
        <v>0.06</v>
      </c>
      <c r="G425" s="795">
        <f t="shared" si="59"/>
        <v>0</v>
      </c>
      <c r="H425" s="795">
        <f t="shared" si="64"/>
        <v>0</v>
      </c>
      <c r="I425" s="795">
        <f t="shared" si="65"/>
        <v>0</v>
      </c>
      <c r="J425" s="795">
        <f t="shared" si="66"/>
        <v>0</v>
      </c>
      <c r="K425" s="108">
        <f t="shared" si="60"/>
        <v>2048</v>
      </c>
      <c r="L425" s="646" t="str">
        <f t="shared" si="61"/>
        <v/>
      </c>
    </row>
    <row r="426" spans="1:12" ht="12.75" customHeight="1">
      <c r="A426" s="645" t="str">
        <f>IF(B426&lt;&gt;"",MAX(A$28:A425)+1,IF(ISNA(HLOOKUP(DATE(YEAR($C$21),MONTH(C426),DAY(C426)),$C$21:$N$21,1,0)),"",MAX(A$28:A425)+1))</f>
        <v/>
      </c>
      <c r="B426" s="91" t="str">
        <f>IF(C426&lt;$K$16,"",IF(ISNA(HLOOKUP(DATE(YEAR($C$20),MONTH($C426),DAY($C426)),$C$20:$N$20,1,0)),"",MAX(B$28:B425)+1))</f>
        <v/>
      </c>
      <c r="C426" s="106">
        <f t="shared" si="67"/>
        <v>54117</v>
      </c>
      <c r="D426" s="795">
        <f t="shared" si="62"/>
        <v>0</v>
      </c>
      <c r="E426" s="795" t="str">
        <f>IF($A426="","",IF($A426=1,D$29*$F426*($C426-$C$28)/$K$17,
(D426*ROUND(($C426-VLOOKUP($A426-1,$A$28:$C426,3,0))/30,0)/12*$F426)
))</f>
        <v/>
      </c>
      <c r="F426" s="107">
        <f t="shared" si="63"/>
        <v>0.06</v>
      </c>
      <c r="G426" s="795">
        <f t="shared" si="59"/>
        <v>0</v>
      </c>
      <c r="H426" s="795">
        <f t="shared" si="64"/>
        <v>0</v>
      </c>
      <c r="I426" s="795">
        <f t="shared" si="65"/>
        <v>0</v>
      </c>
      <c r="J426" s="795">
        <f t="shared" si="66"/>
        <v>0</v>
      </c>
      <c r="K426" s="108">
        <f t="shared" si="60"/>
        <v>2048</v>
      </c>
      <c r="L426" s="646" t="str">
        <f t="shared" si="61"/>
        <v/>
      </c>
    </row>
    <row r="427" spans="1:12" ht="12.75" customHeight="1">
      <c r="A427" s="645">
        <f>IF(B427&lt;&gt;"",MAX(A$28:A426)+1,IF(ISNA(HLOOKUP(DATE(YEAR($C$21),MONTH(C427),DAY(C427)),$C$21:$N$21,1,0)),"",MAX(A$28:A426)+1))</f>
        <v>133</v>
      </c>
      <c r="B427" s="91">
        <f>IF(C427&lt;$K$16,"",IF(ISNA(HLOOKUP(DATE(YEAR($C$20),MONTH($C427),DAY($C427)),$C$20:$N$20,1,0)),"",MAX(B$28:B426)+1))</f>
        <v>121</v>
      </c>
      <c r="C427" s="106">
        <f t="shared" si="67"/>
        <v>54148</v>
      </c>
      <c r="D427" s="795">
        <f t="shared" si="62"/>
        <v>0</v>
      </c>
      <c r="E427" s="795">
        <f>IF($A427="","",IF($A427=1,D$29*$F427*($C427-$C$28)/$K$17,
(D427*ROUND(($C427-VLOOKUP($A427-1,$A$28:$C427,3,0))/30,0)/12*$F427)
))</f>
        <v>0</v>
      </c>
      <c r="F427" s="107">
        <f t="shared" si="63"/>
        <v>0.06</v>
      </c>
      <c r="G427" s="795">
        <f t="shared" si="59"/>
        <v>0</v>
      </c>
      <c r="H427" s="795">
        <f t="shared" si="64"/>
        <v>0</v>
      </c>
      <c r="I427" s="795">
        <f t="shared" si="65"/>
        <v>0</v>
      </c>
      <c r="J427" s="795">
        <f t="shared" si="66"/>
        <v>0</v>
      </c>
      <c r="K427" s="108">
        <f t="shared" si="60"/>
        <v>2048</v>
      </c>
      <c r="L427" s="646" t="str">
        <f t="shared" si="61"/>
        <v/>
      </c>
    </row>
    <row r="428" spans="1:12" ht="12.75" customHeight="1">
      <c r="A428" s="645" t="str">
        <f>IF(B428&lt;&gt;"",MAX(A$28:A427)+1,IF(ISNA(HLOOKUP(DATE(YEAR($C$21),MONTH(C428),DAY(C428)),$C$21:$N$21,1,0)),"",MAX(A$28:A427)+1))</f>
        <v/>
      </c>
      <c r="B428" s="91" t="str">
        <f>IF(C428&lt;$K$16,"",IF(ISNA(HLOOKUP(DATE(YEAR($C$20),MONTH($C428),DAY($C428)),$C$20:$N$20,1,0)),"",MAX(B$28:B427)+1))</f>
        <v/>
      </c>
      <c r="C428" s="106">
        <f t="shared" si="67"/>
        <v>54178</v>
      </c>
      <c r="D428" s="795">
        <f t="shared" si="62"/>
        <v>0</v>
      </c>
      <c r="E428" s="795" t="str">
        <f>IF($A428="","",IF($A428=1,D$29*$F428*($C428-$C$28)/$K$17,
(D428*ROUND(($C428-VLOOKUP($A428-1,$A$28:$C428,3,0))/30,0)/12*$F428)
))</f>
        <v/>
      </c>
      <c r="F428" s="107">
        <f t="shared" si="63"/>
        <v>0.06</v>
      </c>
      <c r="G428" s="795">
        <f t="shared" si="59"/>
        <v>0</v>
      </c>
      <c r="H428" s="795">
        <f t="shared" si="64"/>
        <v>0</v>
      </c>
      <c r="I428" s="795">
        <f t="shared" si="65"/>
        <v>0</v>
      </c>
      <c r="J428" s="795">
        <f t="shared" si="66"/>
        <v>0</v>
      </c>
      <c r="K428" s="108">
        <f t="shared" si="60"/>
        <v>2048</v>
      </c>
      <c r="L428" s="646" t="str">
        <f t="shared" si="61"/>
        <v/>
      </c>
    </row>
    <row r="429" spans="1:12" ht="12.75" customHeight="1">
      <c r="A429" s="645" t="str">
        <f>IF(B429&lt;&gt;"",MAX(A$28:A428)+1,IF(ISNA(HLOOKUP(DATE(YEAR($C$21),MONTH(C429),DAY(C429)),$C$21:$N$21,1,0)),"",MAX(A$28:A428)+1))</f>
        <v/>
      </c>
      <c r="B429" s="91" t="str">
        <f>IF(C429&lt;$K$16,"",IF(ISNA(HLOOKUP(DATE(YEAR($C$20),MONTH($C429),DAY($C429)),$C$20:$N$20,1,0)),"",MAX(B$28:B428)+1))</f>
        <v/>
      </c>
      <c r="C429" s="106">
        <f t="shared" si="67"/>
        <v>54209</v>
      </c>
      <c r="D429" s="795">
        <f t="shared" si="62"/>
        <v>0</v>
      </c>
      <c r="E429" s="795" t="str">
        <f>IF($A429="","",IF($A429=1,D$29*$F429*($C429-$C$28)/$K$17,
(D429*ROUND(($C429-VLOOKUP($A429-1,$A$28:$C429,3,0))/30,0)/12*$F429)
))</f>
        <v/>
      </c>
      <c r="F429" s="107">
        <f t="shared" si="63"/>
        <v>0.06</v>
      </c>
      <c r="G429" s="795">
        <f t="shared" si="59"/>
        <v>0</v>
      </c>
      <c r="H429" s="795">
        <f t="shared" si="64"/>
        <v>0</v>
      </c>
      <c r="I429" s="795">
        <f t="shared" si="65"/>
        <v>0</v>
      </c>
      <c r="J429" s="795">
        <f t="shared" si="66"/>
        <v>0</v>
      </c>
      <c r="K429" s="108">
        <f t="shared" si="60"/>
        <v>2048</v>
      </c>
      <c r="L429" s="646" t="str">
        <f t="shared" si="61"/>
        <v/>
      </c>
    </row>
    <row r="430" spans="1:12" ht="12.75" customHeight="1">
      <c r="A430" s="645">
        <f>IF(B430&lt;&gt;"",MAX(A$28:A429)+1,IF(ISNA(HLOOKUP(DATE(YEAR($C$21),MONTH(C430),DAY(C430)),$C$21:$N$21,1,0)),"",MAX(A$28:A429)+1))</f>
        <v>134</v>
      </c>
      <c r="B430" s="91">
        <f>IF(C430&lt;$K$16,"",IF(ISNA(HLOOKUP(DATE(YEAR($C$20),MONTH($C430),DAY($C430)),$C$20:$N$20,1,0)),"",MAX(B$28:B429)+1))</f>
        <v>122</v>
      </c>
      <c r="C430" s="106">
        <f t="shared" si="67"/>
        <v>54239</v>
      </c>
      <c r="D430" s="795">
        <f t="shared" si="62"/>
        <v>0</v>
      </c>
      <c r="E430" s="795">
        <f>IF($A430="","",IF($A430=1,D$29*$F430*($C430-$C$28)/$K$17,
(D430*ROUND(($C430-VLOOKUP($A430-1,$A$28:$C430,3,0))/30,0)/12*$F430)
))</f>
        <v>0</v>
      </c>
      <c r="F430" s="107">
        <f t="shared" si="63"/>
        <v>0.06</v>
      </c>
      <c r="G430" s="795">
        <f t="shared" si="59"/>
        <v>0</v>
      </c>
      <c r="H430" s="795">
        <f t="shared" si="64"/>
        <v>0</v>
      </c>
      <c r="I430" s="795">
        <f t="shared" si="65"/>
        <v>0</v>
      </c>
      <c r="J430" s="795">
        <f t="shared" si="66"/>
        <v>0</v>
      </c>
      <c r="K430" s="108">
        <f t="shared" si="60"/>
        <v>2048</v>
      </c>
      <c r="L430" s="646" t="str">
        <f t="shared" si="61"/>
        <v/>
      </c>
    </row>
    <row r="431" spans="1:12" ht="12.75" customHeight="1">
      <c r="A431" s="645" t="str">
        <f>IF(B431&lt;&gt;"",MAX(A$28:A430)+1,IF(ISNA(HLOOKUP(DATE(YEAR($C$21),MONTH(C431),DAY(C431)),$C$21:$N$21,1,0)),"",MAX(A$28:A430)+1))</f>
        <v/>
      </c>
      <c r="B431" s="91" t="str">
        <f>IF(C431&lt;$K$16,"",IF(ISNA(HLOOKUP(DATE(YEAR($C$20),MONTH($C431),DAY($C431)),$C$20:$N$20,1,0)),"",MAX(B$28:B430)+1))</f>
        <v/>
      </c>
      <c r="C431" s="106">
        <f t="shared" si="67"/>
        <v>54270</v>
      </c>
      <c r="D431" s="795">
        <f t="shared" si="62"/>
        <v>0</v>
      </c>
      <c r="E431" s="795" t="str">
        <f>IF($A431="","",IF($A431=1,D$29*$F431*($C431-$C$28)/$K$17,
(D431*ROUND(($C431-VLOOKUP($A431-1,$A$28:$C431,3,0))/30,0)/12*$F431)
))</f>
        <v/>
      </c>
      <c r="F431" s="107">
        <f t="shared" si="63"/>
        <v>0.06</v>
      </c>
      <c r="G431" s="795">
        <f t="shared" si="59"/>
        <v>0</v>
      </c>
      <c r="H431" s="795">
        <f t="shared" si="64"/>
        <v>0</v>
      </c>
      <c r="I431" s="795">
        <f t="shared" si="65"/>
        <v>0</v>
      </c>
      <c r="J431" s="795">
        <f t="shared" si="66"/>
        <v>0</v>
      </c>
      <c r="K431" s="108">
        <f t="shared" si="60"/>
        <v>2048</v>
      </c>
      <c r="L431" s="646" t="str">
        <f t="shared" si="61"/>
        <v/>
      </c>
    </row>
    <row r="432" spans="1:12" ht="12.75" customHeight="1">
      <c r="A432" s="645" t="str">
        <f>IF(B432&lt;&gt;"",MAX(A$28:A431)+1,IF(ISNA(HLOOKUP(DATE(YEAR($C$21),MONTH(C432),DAY(C432)),$C$21:$N$21,1,0)),"",MAX(A$28:A431)+1))</f>
        <v/>
      </c>
      <c r="B432" s="91" t="str">
        <f>IF(C432&lt;$K$16,"",IF(ISNA(HLOOKUP(DATE(YEAR($C$20),MONTH($C432),DAY($C432)),$C$20:$N$20,1,0)),"",MAX(B$28:B431)+1))</f>
        <v/>
      </c>
      <c r="C432" s="106">
        <f t="shared" si="67"/>
        <v>54301</v>
      </c>
      <c r="D432" s="795">
        <f t="shared" si="62"/>
        <v>0</v>
      </c>
      <c r="E432" s="795" t="str">
        <f>IF($A432="","",IF($A432=1,D$29*$F432*($C432-$C$28)/$K$17,
(D432*ROUND(($C432-VLOOKUP($A432-1,$A$28:$C432,3,0))/30,0)/12*$F432)
))</f>
        <v/>
      </c>
      <c r="F432" s="107">
        <f t="shared" si="63"/>
        <v>0.06</v>
      </c>
      <c r="G432" s="795">
        <f t="shared" si="59"/>
        <v>0</v>
      </c>
      <c r="H432" s="795">
        <f t="shared" si="64"/>
        <v>0</v>
      </c>
      <c r="I432" s="795">
        <f t="shared" si="65"/>
        <v>0</v>
      </c>
      <c r="J432" s="795">
        <f t="shared" si="66"/>
        <v>0</v>
      </c>
      <c r="K432" s="108">
        <f t="shared" si="60"/>
        <v>2048</v>
      </c>
      <c r="L432" s="646" t="str">
        <f t="shared" si="61"/>
        <v/>
      </c>
    </row>
    <row r="433" spans="1:12" ht="12.75" customHeight="1">
      <c r="A433" s="645">
        <f>IF(B433&lt;&gt;"",MAX(A$28:A432)+1,IF(ISNA(HLOOKUP(DATE(YEAR($C$21),MONTH(C433),DAY(C433)),$C$21:$N$21,1,0)),"",MAX(A$28:A432)+1))</f>
        <v>135</v>
      </c>
      <c r="B433" s="91">
        <f>IF(C433&lt;$K$16,"",IF(ISNA(HLOOKUP(DATE(YEAR($C$20),MONTH($C433),DAY($C433)),$C$20:$N$20,1,0)),"",MAX(B$28:B432)+1))</f>
        <v>123</v>
      </c>
      <c r="C433" s="106">
        <f t="shared" si="67"/>
        <v>54331</v>
      </c>
      <c r="D433" s="795">
        <f t="shared" si="62"/>
        <v>0</v>
      </c>
      <c r="E433" s="795">
        <f>IF($A433="","",IF($A433=1,D$29*$F433*($C433-$C$28)/$K$17,
(D433*ROUND(($C433-VLOOKUP($A433-1,$A$28:$C433,3,0))/30,0)/12*$F433)
))</f>
        <v>0</v>
      </c>
      <c r="F433" s="107">
        <f t="shared" si="63"/>
        <v>0.06</v>
      </c>
      <c r="G433" s="795">
        <f t="shared" si="59"/>
        <v>0</v>
      </c>
      <c r="H433" s="795">
        <f t="shared" si="64"/>
        <v>0</v>
      </c>
      <c r="I433" s="795">
        <f t="shared" si="65"/>
        <v>0</v>
      </c>
      <c r="J433" s="795">
        <f t="shared" si="66"/>
        <v>0</v>
      </c>
      <c r="K433" s="108">
        <f t="shared" si="60"/>
        <v>2048</v>
      </c>
      <c r="L433" s="646" t="str">
        <f t="shared" si="61"/>
        <v/>
      </c>
    </row>
    <row r="434" spans="1:12" ht="12.75" customHeight="1">
      <c r="A434" s="645" t="str">
        <f>IF(B434&lt;&gt;"",MAX(A$28:A433)+1,IF(ISNA(HLOOKUP(DATE(YEAR($C$21),MONTH(C434),DAY(C434)),$C$21:$N$21,1,0)),"",MAX(A$28:A433)+1))</f>
        <v/>
      </c>
      <c r="B434" s="91" t="str">
        <f>IF(C434&lt;$K$16,"",IF(ISNA(HLOOKUP(DATE(YEAR($C$20),MONTH($C434),DAY($C434)),$C$20:$N$20,1,0)),"",MAX(B$28:B433)+1))</f>
        <v/>
      </c>
      <c r="C434" s="106">
        <f t="shared" si="67"/>
        <v>54362</v>
      </c>
      <c r="D434" s="795">
        <f t="shared" si="62"/>
        <v>0</v>
      </c>
      <c r="E434" s="795" t="str">
        <f>IF($A434="","",IF($A434=1,D$29*$F434*($C434-$C$28)/$K$17,
(D434*ROUND(($C434-VLOOKUP($A434-1,$A$28:$C434,3,0))/30,0)/12*$F434)
))</f>
        <v/>
      </c>
      <c r="F434" s="107">
        <f t="shared" si="63"/>
        <v>0.06</v>
      </c>
      <c r="G434" s="795">
        <f t="shared" si="59"/>
        <v>0</v>
      </c>
      <c r="H434" s="795">
        <f t="shared" si="64"/>
        <v>0</v>
      </c>
      <c r="I434" s="795">
        <f t="shared" si="65"/>
        <v>0</v>
      </c>
      <c r="J434" s="795">
        <f t="shared" si="66"/>
        <v>0</v>
      </c>
      <c r="K434" s="108">
        <f t="shared" si="60"/>
        <v>2048</v>
      </c>
      <c r="L434" s="646" t="str">
        <f t="shared" si="61"/>
        <v/>
      </c>
    </row>
    <row r="435" spans="1:12" ht="12.75" customHeight="1">
      <c r="A435" s="645" t="str">
        <f>IF(B435&lt;&gt;"",MAX(A$28:A434)+1,IF(ISNA(HLOOKUP(DATE(YEAR($C$21),MONTH(C435),DAY(C435)),$C$21:$N$21,1,0)),"",MAX(A$28:A434)+1))</f>
        <v/>
      </c>
      <c r="B435" s="91" t="str">
        <f>IF(C435&lt;$K$16,"",IF(ISNA(HLOOKUP(DATE(YEAR($C$20),MONTH($C435),DAY($C435)),$C$20:$N$20,1,0)),"",MAX(B$28:B434)+1))</f>
        <v/>
      </c>
      <c r="C435" s="106">
        <f t="shared" si="67"/>
        <v>54392</v>
      </c>
      <c r="D435" s="795">
        <f t="shared" si="62"/>
        <v>0</v>
      </c>
      <c r="E435" s="795" t="str">
        <f>IF($A435="","",IF($A435=1,D$29*$F435*($C435-$C$28)/$K$17,
(D435*ROUND(($C435-VLOOKUP($A435-1,$A$28:$C435,3,0))/30,0)/12*$F435)
))</f>
        <v/>
      </c>
      <c r="F435" s="107">
        <f t="shared" si="63"/>
        <v>0.06</v>
      </c>
      <c r="G435" s="795">
        <f t="shared" si="59"/>
        <v>0</v>
      </c>
      <c r="H435" s="795">
        <f t="shared" si="64"/>
        <v>0</v>
      </c>
      <c r="I435" s="795">
        <f t="shared" si="65"/>
        <v>0</v>
      </c>
      <c r="J435" s="795">
        <f t="shared" si="66"/>
        <v>0</v>
      </c>
      <c r="K435" s="108">
        <f t="shared" si="60"/>
        <v>2048</v>
      </c>
      <c r="L435" s="646" t="str">
        <f t="shared" si="61"/>
        <v/>
      </c>
    </row>
    <row r="436" spans="1:12" ht="12.75" customHeight="1">
      <c r="A436" s="645">
        <f>IF(B436&lt;&gt;"",MAX(A$28:A435)+1,IF(ISNA(HLOOKUP(DATE(YEAR($C$21),MONTH(C436),DAY(C436)),$C$21:$N$21,1,0)),"",MAX(A$28:A435)+1))</f>
        <v>136</v>
      </c>
      <c r="B436" s="91">
        <f>IF(C436&lt;$K$16,"",IF(ISNA(HLOOKUP(DATE(YEAR($C$20),MONTH($C436),DAY($C436)),$C$20:$N$20,1,0)),"",MAX(B$28:B435)+1))</f>
        <v>124</v>
      </c>
      <c r="C436" s="106">
        <f t="shared" si="67"/>
        <v>54423</v>
      </c>
      <c r="D436" s="795">
        <f t="shared" si="62"/>
        <v>0</v>
      </c>
      <c r="E436" s="795">
        <f>IF($A436="","",IF($A436=1,D$29*$F436*($C436-$C$28)/$K$17,
(D436*ROUND(($C436-VLOOKUP($A436-1,$A$28:$C436,3,0))/30,0)/12*$F436)
))</f>
        <v>0</v>
      </c>
      <c r="F436" s="107">
        <f t="shared" si="63"/>
        <v>0.06</v>
      </c>
      <c r="G436" s="795">
        <f t="shared" si="59"/>
        <v>0</v>
      </c>
      <c r="H436" s="795">
        <f t="shared" si="64"/>
        <v>0</v>
      </c>
      <c r="I436" s="795">
        <f t="shared" si="65"/>
        <v>0</v>
      </c>
      <c r="J436" s="795">
        <f t="shared" si="66"/>
        <v>0</v>
      </c>
      <c r="K436" s="108">
        <f t="shared" si="60"/>
        <v>2048</v>
      </c>
      <c r="L436" s="646" t="str">
        <f t="shared" si="61"/>
        <v/>
      </c>
    </row>
    <row r="437" spans="1:12" ht="12.75" customHeight="1">
      <c r="A437" s="645" t="str">
        <f>IF(B437&lt;&gt;"",MAX(A$28:A436)+1,IF(ISNA(HLOOKUP(DATE(YEAR($C$21),MONTH(C437),DAY(C437)),$C$21:$N$21,1,0)),"",MAX(A$28:A436)+1))</f>
        <v/>
      </c>
      <c r="B437" s="91" t="str">
        <f>IF(C437&lt;$K$16,"",IF(ISNA(HLOOKUP(DATE(YEAR($C$20),MONTH($C437),DAY($C437)),$C$20:$N$20,1,0)),"",MAX(B$28:B436)+1))</f>
        <v/>
      </c>
      <c r="C437" s="106">
        <f t="shared" si="67"/>
        <v>54454</v>
      </c>
      <c r="D437" s="795">
        <f t="shared" si="62"/>
        <v>0</v>
      </c>
      <c r="E437" s="795" t="str">
        <f>IF($A437="","",IF($A437=1,D$29*$F437*($C437-$C$28)/$K$17,
(D437*ROUND(($C437-VLOOKUP($A437-1,$A$28:$C437,3,0))/30,0)/12*$F437)
))</f>
        <v/>
      </c>
      <c r="F437" s="107">
        <f t="shared" si="63"/>
        <v>0.06</v>
      </c>
      <c r="G437" s="795">
        <f t="shared" si="59"/>
        <v>0</v>
      </c>
      <c r="H437" s="795">
        <f t="shared" si="64"/>
        <v>0</v>
      </c>
      <c r="I437" s="795">
        <f t="shared" si="65"/>
        <v>0</v>
      </c>
      <c r="J437" s="795">
        <f t="shared" si="66"/>
        <v>0</v>
      </c>
      <c r="K437" s="108">
        <f t="shared" si="60"/>
        <v>2049</v>
      </c>
      <c r="L437" s="646" t="str">
        <f t="shared" si="61"/>
        <v/>
      </c>
    </row>
    <row r="438" spans="1:12" ht="12.75" customHeight="1">
      <c r="A438" s="645" t="str">
        <f>IF(B438&lt;&gt;"",MAX(A$28:A437)+1,IF(ISNA(HLOOKUP(DATE(YEAR($C$21),MONTH(C438),DAY(C438)),$C$21:$N$21,1,0)),"",MAX(A$28:A437)+1))</f>
        <v/>
      </c>
      <c r="B438" s="91" t="str">
        <f>IF(C438&lt;$K$16,"",IF(ISNA(HLOOKUP(DATE(YEAR($C$20),MONTH($C438),DAY($C438)),$C$20:$N$20,1,0)),"",MAX(B$28:B437)+1))</f>
        <v/>
      </c>
      <c r="C438" s="106">
        <f t="shared" si="67"/>
        <v>54482</v>
      </c>
      <c r="D438" s="795">
        <f t="shared" si="62"/>
        <v>0</v>
      </c>
      <c r="E438" s="795" t="str">
        <f>IF($A438="","",IF($A438=1,D$29*$F438*($C438-$C$28)/$K$17,
(D438*ROUND(($C438-VLOOKUP($A438-1,$A$28:$C438,3,0))/30,0)/12*$F438)
))</f>
        <v/>
      </c>
      <c r="F438" s="107">
        <f t="shared" si="63"/>
        <v>0.06</v>
      </c>
      <c r="G438" s="795">
        <f t="shared" si="59"/>
        <v>0</v>
      </c>
      <c r="H438" s="795">
        <f t="shared" si="64"/>
        <v>0</v>
      </c>
      <c r="I438" s="795">
        <f t="shared" si="65"/>
        <v>0</v>
      </c>
      <c r="J438" s="795">
        <f t="shared" si="66"/>
        <v>0</v>
      </c>
      <c r="K438" s="108">
        <f t="shared" si="60"/>
        <v>2049</v>
      </c>
      <c r="L438" s="646" t="str">
        <f t="shared" si="61"/>
        <v/>
      </c>
    </row>
    <row r="439" spans="1:12" ht="12.75" customHeight="1">
      <c r="A439" s="645">
        <f>IF(B439&lt;&gt;"",MAX(A$28:A438)+1,IF(ISNA(HLOOKUP(DATE(YEAR($C$21),MONTH(C439),DAY(C439)),$C$21:$N$21,1,0)),"",MAX(A$28:A438)+1))</f>
        <v>137</v>
      </c>
      <c r="B439" s="91">
        <f>IF(C439&lt;$K$16,"",IF(ISNA(HLOOKUP(DATE(YEAR($C$20),MONTH($C439),DAY($C439)),$C$20:$N$20,1,0)),"",MAX(B$28:B438)+1))</f>
        <v>125</v>
      </c>
      <c r="C439" s="106">
        <f t="shared" si="67"/>
        <v>54513</v>
      </c>
      <c r="D439" s="795">
        <f t="shared" si="62"/>
        <v>0</v>
      </c>
      <c r="E439" s="795">
        <f>IF($A439="","",IF($A439=1,D$29*$F439*($C439-$C$28)/$K$17,
(D439*ROUND(($C439-VLOOKUP($A439-1,$A$28:$C439,3,0))/30,0)/12*$F439)
))</f>
        <v>0</v>
      </c>
      <c r="F439" s="107">
        <f t="shared" si="63"/>
        <v>0.06</v>
      </c>
      <c r="G439" s="795">
        <f t="shared" si="59"/>
        <v>0</v>
      </c>
      <c r="H439" s="795">
        <f t="shared" si="64"/>
        <v>0</v>
      </c>
      <c r="I439" s="795">
        <f t="shared" si="65"/>
        <v>0</v>
      </c>
      <c r="J439" s="795">
        <f t="shared" si="66"/>
        <v>0</v>
      </c>
      <c r="K439" s="108">
        <f t="shared" si="60"/>
        <v>2049</v>
      </c>
      <c r="L439" s="646" t="str">
        <f t="shared" si="61"/>
        <v/>
      </c>
    </row>
    <row r="440" spans="1:12" ht="12.75" customHeight="1">
      <c r="A440" s="645" t="str">
        <f>IF(B440&lt;&gt;"",MAX(A$28:A439)+1,IF(ISNA(HLOOKUP(DATE(YEAR($C$21),MONTH(C440),DAY(C440)),$C$21:$N$21,1,0)),"",MAX(A$28:A439)+1))</f>
        <v/>
      </c>
      <c r="B440" s="91" t="str">
        <f>IF(C440&lt;$K$16,"",IF(ISNA(HLOOKUP(DATE(YEAR($C$20),MONTH($C440),DAY($C440)),$C$20:$N$20,1,0)),"",MAX(B$28:B439)+1))</f>
        <v/>
      </c>
      <c r="C440" s="106">
        <f t="shared" si="67"/>
        <v>54543</v>
      </c>
      <c r="D440" s="795">
        <f t="shared" si="62"/>
        <v>0</v>
      </c>
      <c r="E440" s="795" t="str">
        <f>IF($A440="","",IF($A440=1,D$29*$F440*($C440-$C$28)/$K$17,
(D440*ROUND(($C440-VLOOKUP($A440-1,$A$28:$C440,3,0))/30,0)/12*$F440)
))</f>
        <v/>
      </c>
      <c r="F440" s="107">
        <f t="shared" si="63"/>
        <v>0.06</v>
      </c>
      <c r="G440" s="795">
        <f t="shared" si="59"/>
        <v>0</v>
      </c>
      <c r="H440" s="795">
        <f t="shared" si="64"/>
        <v>0</v>
      </c>
      <c r="I440" s="795">
        <f t="shared" si="65"/>
        <v>0</v>
      </c>
      <c r="J440" s="795">
        <f t="shared" si="66"/>
        <v>0</v>
      </c>
      <c r="K440" s="108">
        <f t="shared" si="60"/>
        <v>2049</v>
      </c>
      <c r="L440" s="646" t="str">
        <f t="shared" si="61"/>
        <v/>
      </c>
    </row>
    <row r="441" spans="1:12" ht="12.75" customHeight="1">
      <c r="A441" s="645" t="str">
        <f>IF(B441&lt;&gt;"",MAX(A$28:A440)+1,IF(ISNA(HLOOKUP(DATE(YEAR($C$21),MONTH(C441),DAY(C441)),$C$21:$N$21,1,0)),"",MAX(A$28:A440)+1))</f>
        <v/>
      </c>
      <c r="B441" s="91" t="str">
        <f>IF(C441&lt;$K$16,"",IF(ISNA(HLOOKUP(DATE(YEAR($C$20),MONTH($C441),DAY($C441)),$C$20:$N$20,1,0)),"",MAX(B$28:B440)+1))</f>
        <v/>
      </c>
      <c r="C441" s="106">
        <f t="shared" si="67"/>
        <v>54574</v>
      </c>
      <c r="D441" s="795">
        <f t="shared" si="62"/>
        <v>0</v>
      </c>
      <c r="E441" s="795" t="str">
        <f>IF($A441="","",IF($A441=1,D$29*$F441*($C441-$C$28)/$K$17,
(D441*ROUND(($C441-VLOOKUP($A441-1,$A$28:$C441,3,0))/30,0)/12*$F441)
))</f>
        <v/>
      </c>
      <c r="F441" s="107">
        <f t="shared" si="63"/>
        <v>0.06</v>
      </c>
      <c r="G441" s="795">
        <f t="shared" si="59"/>
        <v>0</v>
      </c>
      <c r="H441" s="795">
        <f t="shared" si="64"/>
        <v>0</v>
      </c>
      <c r="I441" s="795">
        <f t="shared" si="65"/>
        <v>0</v>
      </c>
      <c r="J441" s="795">
        <f t="shared" si="66"/>
        <v>0</v>
      </c>
      <c r="K441" s="108">
        <f t="shared" si="60"/>
        <v>2049</v>
      </c>
      <c r="L441" s="646" t="str">
        <f t="shared" si="61"/>
        <v/>
      </c>
    </row>
    <row r="442" spans="1:12" ht="12.75" customHeight="1">
      <c r="A442" s="645">
        <f>IF(B442&lt;&gt;"",MAX(A$28:A441)+1,IF(ISNA(HLOOKUP(DATE(YEAR($C$21),MONTH(C442),DAY(C442)),$C$21:$N$21,1,0)),"",MAX(A$28:A441)+1))</f>
        <v>138</v>
      </c>
      <c r="B442" s="91">
        <f>IF(C442&lt;$K$16,"",IF(ISNA(HLOOKUP(DATE(YEAR($C$20),MONTH($C442),DAY($C442)),$C$20:$N$20,1,0)),"",MAX(B$28:B441)+1))</f>
        <v>126</v>
      </c>
      <c r="C442" s="106">
        <f t="shared" si="67"/>
        <v>54604</v>
      </c>
      <c r="D442" s="795">
        <f t="shared" si="62"/>
        <v>0</v>
      </c>
      <c r="E442" s="795">
        <f>IF($A442="","",IF($A442=1,D$29*$F442*($C442-$C$28)/$K$17,
(D442*ROUND(($C442-VLOOKUP($A442-1,$A$28:$C442,3,0))/30,0)/12*$F442)
))</f>
        <v>0</v>
      </c>
      <c r="F442" s="107">
        <f t="shared" si="63"/>
        <v>0.06</v>
      </c>
      <c r="G442" s="795">
        <f t="shared" si="59"/>
        <v>0</v>
      </c>
      <c r="H442" s="795">
        <f t="shared" si="64"/>
        <v>0</v>
      </c>
      <c r="I442" s="795">
        <f t="shared" si="65"/>
        <v>0</v>
      </c>
      <c r="J442" s="795">
        <f t="shared" si="66"/>
        <v>0</v>
      </c>
      <c r="K442" s="108">
        <f t="shared" si="60"/>
        <v>2049</v>
      </c>
      <c r="L442" s="646" t="str">
        <f t="shared" si="61"/>
        <v/>
      </c>
    </row>
    <row r="443" spans="1:12" ht="12.75" customHeight="1">
      <c r="A443" s="645" t="str">
        <f>IF(B443&lt;&gt;"",MAX(A$28:A442)+1,IF(ISNA(HLOOKUP(DATE(YEAR($C$21),MONTH(C443),DAY(C443)),$C$21:$N$21,1,0)),"",MAX(A$28:A442)+1))</f>
        <v/>
      </c>
      <c r="B443" s="91" t="str">
        <f>IF(C443&lt;$K$16,"",IF(ISNA(HLOOKUP(DATE(YEAR($C$20),MONTH($C443),DAY($C443)),$C$20:$N$20,1,0)),"",MAX(B$28:B442)+1))</f>
        <v/>
      </c>
      <c r="C443" s="106">
        <f t="shared" si="67"/>
        <v>54635</v>
      </c>
      <c r="D443" s="795">
        <f t="shared" si="62"/>
        <v>0</v>
      </c>
      <c r="E443" s="795" t="str">
        <f>IF($A443="","",IF($A443=1,D$29*$F443*($C443-$C$28)/$K$17,
(D443*ROUND(($C443-VLOOKUP($A443-1,$A$28:$C443,3,0))/30,0)/12*$F443)
))</f>
        <v/>
      </c>
      <c r="F443" s="107">
        <f t="shared" si="63"/>
        <v>0.06</v>
      </c>
      <c r="G443" s="795">
        <f t="shared" si="59"/>
        <v>0</v>
      </c>
      <c r="H443" s="795">
        <f t="shared" si="64"/>
        <v>0</v>
      </c>
      <c r="I443" s="795">
        <f t="shared" si="65"/>
        <v>0</v>
      </c>
      <c r="J443" s="795">
        <f t="shared" si="66"/>
        <v>0</v>
      </c>
      <c r="K443" s="108">
        <f t="shared" si="60"/>
        <v>2049</v>
      </c>
      <c r="L443" s="646" t="str">
        <f t="shared" si="61"/>
        <v/>
      </c>
    </row>
    <row r="444" spans="1:12" ht="12.75" customHeight="1">
      <c r="A444" s="645" t="str">
        <f>IF(B444&lt;&gt;"",MAX(A$28:A443)+1,IF(ISNA(HLOOKUP(DATE(YEAR($C$21),MONTH(C444),DAY(C444)),$C$21:$N$21,1,0)),"",MAX(A$28:A443)+1))</f>
        <v/>
      </c>
      <c r="B444" s="91" t="str">
        <f>IF(C444&lt;$K$16,"",IF(ISNA(HLOOKUP(DATE(YEAR($C$20),MONTH($C444),DAY($C444)),$C$20:$N$20,1,0)),"",MAX(B$28:B443)+1))</f>
        <v/>
      </c>
      <c r="C444" s="106">
        <f t="shared" si="67"/>
        <v>54666</v>
      </c>
      <c r="D444" s="795">
        <f t="shared" si="62"/>
        <v>0</v>
      </c>
      <c r="E444" s="795" t="str">
        <f>IF($A444="","",IF($A444=1,D$29*$F444*($C444-$C$28)/$K$17,
(D444*ROUND(($C444-VLOOKUP($A444-1,$A$28:$C444,3,0))/30,0)/12*$F444)
))</f>
        <v/>
      </c>
      <c r="F444" s="107">
        <f t="shared" si="63"/>
        <v>0.06</v>
      </c>
      <c r="G444" s="795">
        <f t="shared" si="59"/>
        <v>0</v>
      </c>
      <c r="H444" s="795">
        <f t="shared" si="64"/>
        <v>0</v>
      </c>
      <c r="I444" s="795">
        <f t="shared" si="65"/>
        <v>0</v>
      </c>
      <c r="J444" s="795">
        <f t="shared" si="66"/>
        <v>0</v>
      </c>
      <c r="K444" s="108">
        <f t="shared" si="60"/>
        <v>2049</v>
      </c>
      <c r="L444" s="646" t="str">
        <f t="shared" si="61"/>
        <v/>
      </c>
    </row>
    <row r="445" spans="1:12" ht="12.75" customHeight="1">
      <c r="A445" s="645">
        <f>IF(B445&lt;&gt;"",MAX(A$28:A444)+1,IF(ISNA(HLOOKUP(DATE(YEAR($C$21),MONTH(C445),DAY(C445)),$C$21:$N$21,1,0)),"",MAX(A$28:A444)+1))</f>
        <v>139</v>
      </c>
      <c r="B445" s="91">
        <f>IF(C445&lt;$K$16,"",IF(ISNA(HLOOKUP(DATE(YEAR($C$20),MONTH($C445),DAY($C445)),$C$20:$N$20,1,0)),"",MAX(B$28:B444)+1))</f>
        <v>127</v>
      </c>
      <c r="C445" s="106">
        <f t="shared" si="67"/>
        <v>54696</v>
      </c>
      <c r="D445" s="795">
        <f t="shared" si="62"/>
        <v>0</v>
      </c>
      <c r="E445" s="795">
        <f>IF($A445="","",IF($A445=1,D$29*$F445*($C445-$C$28)/$K$17,
(D445*ROUND(($C445-VLOOKUP($A445-1,$A$28:$C445,3,0))/30,0)/12*$F445)
))</f>
        <v>0</v>
      </c>
      <c r="F445" s="107">
        <f t="shared" si="63"/>
        <v>0.06</v>
      </c>
      <c r="G445" s="795">
        <f t="shared" si="59"/>
        <v>0</v>
      </c>
      <c r="H445" s="795">
        <f t="shared" si="64"/>
        <v>0</v>
      </c>
      <c r="I445" s="795">
        <f t="shared" si="65"/>
        <v>0</v>
      </c>
      <c r="J445" s="795">
        <f t="shared" si="66"/>
        <v>0</v>
      </c>
      <c r="K445" s="108">
        <f t="shared" si="60"/>
        <v>2049</v>
      </c>
      <c r="L445" s="646" t="str">
        <f t="shared" si="61"/>
        <v/>
      </c>
    </row>
    <row r="446" spans="1:12" ht="12.75" customHeight="1">
      <c r="A446" s="645" t="str">
        <f>IF(B446&lt;&gt;"",MAX(A$28:A445)+1,IF(ISNA(HLOOKUP(DATE(YEAR($C$21),MONTH(C446),DAY(C446)),$C$21:$N$21,1,0)),"",MAX(A$28:A445)+1))</f>
        <v/>
      </c>
      <c r="B446" s="91" t="str">
        <f>IF(C446&lt;$K$16,"",IF(ISNA(HLOOKUP(DATE(YEAR($C$20),MONTH($C446),DAY($C446)),$C$20:$N$20,1,0)),"",MAX(B$28:B445)+1))</f>
        <v/>
      </c>
      <c r="C446" s="106">
        <f t="shared" si="67"/>
        <v>54727</v>
      </c>
      <c r="D446" s="795">
        <f t="shared" si="62"/>
        <v>0</v>
      </c>
      <c r="E446" s="795" t="str">
        <f>IF($A446="","",IF($A446=1,D$29*$F446*($C446-$C$28)/$K$17,
(D446*ROUND(($C446-VLOOKUP($A446-1,$A$28:$C446,3,0))/30,0)/12*$F446)
))</f>
        <v/>
      </c>
      <c r="F446" s="107">
        <f t="shared" si="63"/>
        <v>0.06</v>
      </c>
      <c r="G446" s="795">
        <f t="shared" si="59"/>
        <v>0</v>
      </c>
      <c r="H446" s="795">
        <f t="shared" si="64"/>
        <v>0</v>
      </c>
      <c r="I446" s="795">
        <f t="shared" si="65"/>
        <v>0</v>
      </c>
      <c r="J446" s="795">
        <f t="shared" si="66"/>
        <v>0</v>
      </c>
      <c r="K446" s="108">
        <f t="shared" si="60"/>
        <v>2049</v>
      </c>
      <c r="L446" s="646" t="str">
        <f t="shared" si="61"/>
        <v/>
      </c>
    </row>
    <row r="447" spans="1:12" ht="12.75" customHeight="1">
      <c r="A447" s="645" t="str">
        <f>IF(B447&lt;&gt;"",MAX(A$28:A446)+1,IF(ISNA(HLOOKUP(DATE(YEAR($C$21),MONTH(C447),DAY(C447)),$C$21:$N$21,1,0)),"",MAX(A$28:A446)+1))</f>
        <v/>
      </c>
      <c r="B447" s="91" t="str">
        <f>IF(C447&lt;$K$16,"",IF(ISNA(HLOOKUP(DATE(YEAR($C$20),MONTH($C447),DAY($C447)),$C$20:$N$20,1,0)),"",MAX(B$28:B446)+1))</f>
        <v/>
      </c>
      <c r="C447" s="106">
        <f t="shared" si="67"/>
        <v>54757</v>
      </c>
      <c r="D447" s="795">
        <f t="shared" si="62"/>
        <v>0</v>
      </c>
      <c r="E447" s="795" t="str">
        <f>IF($A447="","",IF($A447=1,D$29*$F447*($C447-$C$28)/$K$17,
(D447*ROUND(($C447-VLOOKUP($A447-1,$A$28:$C447,3,0))/30,0)/12*$F447)
))</f>
        <v/>
      </c>
      <c r="F447" s="107">
        <f t="shared" si="63"/>
        <v>0.06</v>
      </c>
      <c r="G447" s="795">
        <f t="shared" si="59"/>
        <v>0</v>
      </c>
      <c r="H447" s="795">
        <f t="shared" si="64"/>
        <v>0</v>
      </c>
      <c r="I447" s="795">
        <f t="shared" si="65"/>
        <v>0</v>
      </c>
      <c r="J447" s="795">
        <f t="shared" si="66"/>
        <v>0</v>
      </c>
      <c r="K447" s="108">
        <f t="shared" si="60"/>
        <v>2049</v>
      </c>
      <c r="L447" s="646" t="str">
        <f t="shared" si="61"/>
        <v/>
      </c>
    </row>
    <row r="448" spans="1:12" ht="12.75" customHeight="1">
      <c r="A448" s="645">
        <f>IF(B448&lt;&gt;"",MAX(A$28:A447)+1,IF(ISNA(HLOOKUP(DATE(YEAR($C$21),MONTH(C448),DAY(C448)),$C$21:$N$21,1,0)),"",MAX(A$28:A447)+1))</f>
        <v>140</v>
      </c>
      <c r="B448" s="91">
        <f>IF(C448&lt;$K$16,"",IF(ISNA(HLOOKUP(DATE(YEAR($C$20),MONTH($C448),DAY($C448)),$C$20:$N$20,1,0)),"",MAX(B$28:B447)+1))</f>
        <v>128</v>
      </c>
      <c r="C448" s="106">
        <f t="shared" si="67"/>
        <v>54788</v>
      </c>
      <c r="D448" s="795">
        <f t="shared" si="62"/>
        <v>0</v>
      </c>
      <c r="E448" s="795">
        <f>IF($A448="","",IF($A448=1,D$29*$F448*($C448-$C$28)/$K$17,
(D448*ROUND(($C448-VLOOKUP($A448-1,$A$28:$C448,3,0))/30,0)/12*$F448)
))</f>
        <v>0</v>
      </c>
      <c r="F448" s="107">
        <f t="shared" si="63"/>
        <v>0.06</v>
      </c>
      <c r="G448" s="795">
        <f t="shared" si="59"/>
        <v>0</v>
      </c>
      <c r="H448" s="795">
        <f t="shared" si="64"/>
        <v>0</v>
      </c>
      <c r="I448" s="795">
        <f t="shared" si="65"/>
        <v>0</v>
      </c>
      <c r="J448" s="795">
        <f t="shared" si="66"/>
        <v>0</v>
      </c>
      <c r="K448" s="108">
        <f t="shared" si="60"/>
        <v>2049</v>
      </c>
      <c r="L448" s="646" t="str">
        <f t="shared" si="61"/>
        <v/>
      </c>
    </row>
    <row r="449" spans="1:12" ht="12.75" customHeight="1">
      <c r="A449" s="645" t="str">
        <f>IF(B449&lt;&gt;"",MAX(A$28:A448)+1,IF(ISNA(HLOOKUP(DATE(YEAR($C$21),MONTH(C449),DAY(C449)),$C$21:$N$21,1,0)),"",MAX(A$28:A448)+1))</f>
        <v/>
      </c>
      <c r="B449" s="91" t="str">
        <f>IF(C449&lt;$K$16,"",IF(ISNA(HLOOKUP(DATE(YEAR($C$20),MONTH($C449),DAY($C449)),$C$20:$N$20,1,0)),"",MAX(B$28:B448)+1))</f>
        <v/>
      </c>
      <c r="C449" s="106">
        <f t="shared" si="67"/>
        <v>54819</v>
      </c>
      <c r="D449" s="795">
        <f t="shared" si="62"/>
        <v>0</v>
      </c>
      <c r="E449" s="795" t="str">
        <f>IF($A449="","",IF($A449=1,D$29*$F449*($C449-$C$28)/$K$17,
(D449*ROUND(($C449-VLOOKUP($A449-1,$A$28:$C449,3,0))/30,0)/12*$F449)
))</f>
        <v/>
      </c>
      <c r="F449" s="107">
        <f t="shared" si="63"/>
        <v>0.06</v>
      </c>
      <c r="G449" s="795">
        <f t="shared" si="59"/>
        <v>0</v>
      </c>
      <c r="H449" s="795">
        <f t="shared" si="64"/>
        <v>0</v>
      </c>
      <c r="I449" s="795">
        <f t="shared" si="65"/>
        <v>0</v>
      </c>
      <c r="J449" s="795">
        <f t="shared" si="66"/>
        <v>0</v>
      </c>
      <c r="K449" s="108">
        <f t="shared" si="60"/>
        <v>2050</v>
      </c>
      <c r="L449" s="646" t="str">
        <f t="shared" si="61"/>
        <v/>
      </c>
    </row>
    <row r="450" spans="1:12" ht="12.75" customHeight="1">
      <c r="A450" s="645" t="str">
        <f>IF(B450&lt;&gt;"",MAX(A$28:A449)+1,IF(ISNA(HLOOKUP(DATE(YEAR($C$21),MONTH(C450),DAY(C450)),$C$21:$N$21,1,0)),"",MAX(A$28:A449)+1))</f>
        <v/>
      </c>
      <c r="B450" s="91" t="str">
        <f>IF(C450&lt;$K$16,"",IF(ISNA(HLOOKUP(DATE(YEAR($C$20),MONTH($C450),DAY($C450)),$C$20:$N$20,1,0)),"",MAX(B$28:B449)+1))</f>
        <v/>
      </c>
      <c r="C450" s="106">
        <f t="shared" si="67"/>
        <v>54847</v>
      </c>
      <c r="D450" s="795">
        <f t="shared" si="62"/>
        <v>0</v>
      </c>
      <c r="E450" s="795" t="str">
        <f>IF($A450="","",IF($A450=1,D$29*$F450*($C450-$C$28)/$K$17,
(D450*ROUND(($C450-VLOOKUP($A450-1,$A$28:$C450,3,0))/30,0)/12*$F450)
))</f>
        <v/>
      </c>
      <c r="F450" s="107">
        <f t="shared" si="63"/>
        <v>0.06</v>
      </c>
      <c r="G450" s="795">
        <f t="shared" si="59"/>
        <v>0</v>
      </c>
      <c r="H450" s="795">
        <f t="shared" si="64"/>
        <v>0</v>
      </c>
      <c r="I450" s="795">
        <f t="shared" si="65"/>
        <v>0</v>
      </c>
      <c r="J450" s="795">
        <f t="shared" si="66"/>
        <v>0</v>
      </c>
      <c r="K450" s="108">
        <f t="shared" si="60"/>
        <v>2050</v>
      </c>
      <c r="L450" s="646" t="str">
        <f t="shared" si="61"/>
        <v/>
      </c>
    </row>
    <row r="451" spans="1:12" ht="12.75" customHeight="1">
      <c r="A451" s="645">
        <f>IF(B451&lt;&gt;"",MAX(A$28:A450)+1,IF(ISNA(HLOOKUP(DATE(YEAR($C$21),MONTH(C451),DAY(C451)),$C$21:$N$21,1,0)),"",MAX(A$28:A450)+1))</f>
        <v>141</v>
      </c>
      <c r="B451" s="91">
        <f>IF(C451&lt;$K$16,"",IF(ISNA(HLOOKUP(DATE(YEAR($C$20),MONTH($C451),DAY($C451)),$C$20:$N$20,1,0)),"",MAX(B$28:B450)+1))</f>
        <v>129</v>
      </c>
      <c r="C451" s="106">
        <f t="shared" si="67"/>
        <v>54878</v>
      </c>
      <c r="D451" s="795">
        <f t="shared" si="62"/>
        <v>0</v>
      </c>
      <c r="E451" s="795">
        <f>IF($A451="","",IF($A451=1,D$29*$F451*($C451-$C$28)/$K$17,
(D451*ROUND(($C451-VLOOKUP($A451-1,$A$28:$C451,3,0))/30,0)/12*$F451)
))</f>
        <v>0</v>
      </c>
      <c r="F451" s="107">
        <f t="shared" si="63"/>
        <v>0.06</v>
      </c>
      <c r="G451" s="795">
        <f t="shared" si="59"/>
        <v>0</v>
      </c>
      <c r="H451" s="795">
        <f t="shared" si="64"/>
        <v>0</v>
      </c>
      <c r="I451" s="795">
        <f t="shared" si="65"/>
        <v>0</v>
      </c>
      <c r="J451" s="795">
        <f t="shared" si="66"/>
        <v>0</v>
      </c>
      <c r="K451" s="108">
        <f t="shared" si="60"/>
        <v>2050</v>
      </c>
      <c r="L451" s="646" t="str">
        <f t="shared" si="61"/>
        <v/>
      </c>
    </row>
    <row r="452" spans="1:12" ht="12.75" customHeight="1">
      <c r="A452" s="645" t="str">
        <f>IF(B452&lt;&gt;"",MAX(A$28:A451)+1,IF(ISNA(HLOOKUP(DATE(YEAR($C$21),MONTH(C452),DAY(C452)),$C$21:$N$21,1,0)),"",MAX(A$28:A451)+1))</f>
        <v/>
      </c>
      <c r="B452" s="91" t="str">
        <f>IF(C452&lt;$K$16,"",IF(ISNA(HLOOKUP(DATE(YEAR($C$20),MONTH($C452),DAY($C452)),$C$20:$N$20,1,0)),"",MAX(B$28:B451)+1))</f>
        <v/>
      </c>
      <c r="C452" s="106">
        <f t="shared" si="67"/>
        <v>54908</v>
      </c>
      <c r="D452" s="795">
        <f t="shared" si="62"/>
        <v>0</v>
      </c>
      <c r="E452" s="795" t="str">
        <f>IF($A452="","",IF($A452=1,D$29*$F452*($C452-$C$28)/$K$17,
(D452*ROUND(($C452-VLOOKUP($A452-1,$A$28:$C452,3,0))/30,0)/12*$F452)
))</f>
        <v/>
      </c>
      <c r="F452" s="107">
        <f t="shared" si="63"/>
        <v>0.06</v>
      </c>
      <c r="G452" s="795">
        <f t="shared" si="59"/>
        <v>0</v>
      </c>
      <c r="H452" s="795">
        <f t="shared" si="64"/>
        <v>0</v>
      </c>
      <c r="I452" s="795">
        <f t="shared" si="65"/>
        <v>0</v>
      </c>
      <c r="J452" s="795">
        <f t="shared" si="66"/>
        <v>0</v>
      </c>
      <c r="K452" s="108">
        <f t="shared" si="60"/>
        <v>2050</v>
      </c>
      <c r="L452" s="646" t="str">
        <f t="shared" si="61"/>
        <v/>
      </c>
    </row>
    <row r="453" spans="1:12" ht="12.75" customHeight="1">
      <c r="A453" s="645" t="str">
        <f>IF(B453&lt;&gt;"",MAX(A$28:A452)+1,IF(ISNA(HLOOKUP(DATE(YEAR($C$21),MONTH(C453),DAY(C453)),$C$21:$N$21,1,0)),"",MAX(A$28:A452)+1))</f>
        <v/>
      </c>
      <c r="B453" s="91" t="str">
        <f>IF(C453&lt;$K$16,"",IF(ISNA(HLOOKUP(DATE(YEAR($C$20),MONTH($C453),DAY($C453)),$C$20:$N$20,1,0)),"",MAX(B$28:B452)+1))</f>
        <v/>
      </c>
      <c r="C453" s="106">
        <f t="shared" si="67"/>
        <v>54939</v>
      </c>
      <c r="D453" s="795">
        <f t="shared" si="62"/>
        <v>0</v>
      </c>
      <c r="E453" s="795" t="str">
        <f>IF($A453="","",IF($A453=1,D$29*$F453*($C453-$C$28)/$K$17,
(D453*ROUND(($C453-VLOOKUP($A453-1,$A$28:$C453,3,0))/30,0)/12*$F453)
))</f>
        <v/>
      </c>
      <c r="F453" s="107">
        <f t="shared" si="63"/>
        <v>0.06</v>
      </c>
      <c r="G453" s="795">
        <f t="shared" si="59"/>
        <v>0</v>
      </c>
      <c r="H453" s="795">
        <f t="shared" si="64"/>
        <v>0</v>
      </c>
      <c r="I453" s="795">
        <f t="shared" si="65"/>
        <v>0</v>
      </c>
      <c r="J453" s="795">
        <f t="shared" si="66"/>
        <v>0</v>
      </c>
      <c r="K453" s="108">
        <f t="shared" si="60"/>
        <v>2050</v>
      </c>
      <c r="L453" s="646" t="str">
        <f t="shared" si="61"/>
        <v/>
      </c>
    </row>
    <row r="454" spans="1:12" ht="12.75" customHeight="1">
      <c r="A454" s="645">
        <f>IF(B454&lt;&gt;"",MAX(A$28:A453)+1,IF(ISNA(HLOOKUP(DATE(YEAR($C$21),MONTH(C454),DAY(C454)),$C$21:$N$21,1,0)),"",MAX(A$28:A453)+1))</f>
        <v>142</v>
      </c>
      <c r="B454" s="91">
        <f>IF(C454&lt;$K$16,"",IF(ISNA(HLOOKUP(DATE(YEAR($C$20),MONTH($C454),DAY($C454)),$C$20:$N$20,1,0)),"",MAX(B$28:B453)+1))</f>
        <v>130</v>
      </c>
      <c r="C454" s="106">
        <f t="shared" si="67"/>
        <v>54969</v>
      </c>
      <c r="D454" s="795">
        <f t="shared" si="62"/>
        <v>0</v>
      </c>
      <c r="E454" s="795">
        <f>IF($A454="","",IF($A454=1,D$29*$F454*($C454-$C$28)/$K$17,
(D454*ROUND(($C454-VLOOKUP($A454-1,$A$28:$C454,3,0))/30,0)/12*$F454)
))</f>
        <v>0</v>
      </c>
      <c r="F454" s="107">
        <f t="shared" si="63"/>
        <v>0.06</v>
      </c>
      <c r="G454" s="795">
        <f t="shared" si="59"/>
        <v>0</v>
      </c>
      <c r="H454" s="795">
        <f t="shared" si="64"/>
        <v>0</v>
      </c>
      <c r="I454" s="795">
        <f t="shared" si="65"/>
        <v>0</v>
      </c>
      <c r="J454" s="795">
        <f t="shared" si="66"/>
        <v>0</v>
      </c>
      <c r="K454" s="108">
        <f t="shared" si="60"/>
        <v>2050</v>
      </c>
      <c r="L454" s="646" t="str">
        <f t="shared" si="61"/>
        <v/>
      </c>
    </row>
    <row r="455" spans="1:12" ht="12.75" customHeight="1">
      <c r="A455" s="645" t="str">
        <f>IF(B455&lt;&gt;"",MAX(A$28:A454)+1,IF(ISNA(HLOOKUP(DATE(YEAR($C$21),MONTH(C455),DAY(C455)),$C$21:$N$21,1,0)),"",MAX(A$28:A454)+1))</f>
        <v/>
      </c>
      <c r="B455" s="91" t="str">
        <f>IF(C455&lt;$K$16,"",IF(ISNA(HLOOKUP(DATE(YEAR($C$20),MONTH($C455),DAY($C455)),$C$20:$N$20,1,0)),"",MAX(B$28:B454)+1))</f>
        <v/>
      </c>
      <c r="C455" s="106">
        <f t="shared" si="67"/>
        <v>55000</v>
      </c>
      <c r="D455" s="795">
        <f t="shared" si="62"/>
        <v>0</v>
      </c>
      <c r="E455" s="795" t="str">
        <f>IF($A455="","",IF($A455=1,D$29*$F455*($C455-$C$28)/$K$17,
(D455*ROUND(($C455-VLOOKUP($A455-1,$A$28:$C455,3,0))/30,0)/12*$F455)
))</f>
        <v/>
      </c>
      <c r="F455" s="107">
        <f t="shared" si="63"/>
        <v>0.06</v>
      </c>
      <c r="G455" s="795">
        <f t="shared" si="59"/>
        <v>0</v>
      </c>
      <c r="H455" s="795">
        <f t="shared" si="64"/>
        <v>0</v>
      </c>
      <c r="I455" s="795">
        <f t="shared" si="65"/>
        <v>0</v>
      </c>
      <c r="J455" s="795">
        <f t="shared" si="66"/>
        <v>0</v>
      </c>
      <c r="K455" s="108">
        <f t="shared" si="60"/>
        <v>2050</v>
      </c>
      <c r="L455" s="646" t="str">
        <f t="shared" si="61"/>
        <v/>
      </c>
    </row>
    <row r="456" spans="1:12" ht="12.75" customHeight="1">
      <c r="A456" s="645" t="str">
        <f>IF(B456&lt;&gt;"",MAX(A$28:A455)+1,IF(ISNA(HLOOKUP(DATE(YEAR($C$21),MONTH(C456),DAY(C456)),$C$21:$N$21,1,0)),"",MAX(A$28:A455)+1))</f>
        <v/>
      </c>
      <c r="B456" s="91" t="str">
        <f>IF(C456&lt;$K$16,"",IF(ISNA(HLOOKUP(DATE(YEAR($C$20),MONTH($C456),DAY($C456)),$C$20:$N$20,1,0)),"",MAX(B$28:B455)+1))</f>
        <v/>
      </c>
      <c r="C456" s="106">
        <f t="shared" si="67"/>
        <v>55031</v>
      </c>
      <c r="D456" s="795">
        <f t="shared" si="62"/>
        <v>0</v>
      </c>
      <c r="E456" s="795" t="str">
        <f>IF($A456="","",IF($A456=1,D$29*$F456*($C456-$C$28)/$K$17,
(D456*ROUND(($C456-VLOOKUP($A456-1,$A$28:$C456,3,0))/30,0)/12*$F456)
))</f>
        <v/>
      </c>
      <c r="F456" s="107">
        <f t="shared" si="63"/>
        <v>0.06</v>
      </c>
      <c r="G456" s="795">
        <f t="shared" si="59"/>
        <v>0</v>
      </c>
      <c r="H456" s="795">
        <f t="shared" si="64"/>
        <v>0</v>
      </c>
      <c r="I456" s="795">
        <f t="shared" si="65"/>
        <v>0</v>
      </c>
      <c r="J456" s="795">
        <f t="shared" si="66"/>
        <v>0</v>
      </c>
      <c r="K456" s="108">
        <f t="shared" si="60"/>
        <v>2050</v>
      </c>
      <c r="L456" s="646" t="str">
        <f t="shared" si="61"/>
        <v/>
      </c>
    </row>
    <row r="457" spans="1:12" ht="12.75" customHeight="1">
      <c r="A457" s="645">
        <f>IF(B457&lt;&gt;"",MAX(A$28:A456)+1,IF(ISNA(HLOOKUP(DATE(YEAR($C$21),MONTH(C457),DAY(C457)),$C$21:$N$21,1,0)),"",MAX(A$28:A456)+1))</f>
        <v>143</v>
      </c>
      <c r="B457" s="91">
        <f>IF(C457&lt;$K$16,"",IF(ISNA(HLOOKUP(DATE(YEAR($C$20),MONTH($C457),DAY($C457)),$C$20:$N$20,1,0)),"",MAX(B$28:B456)+1))</f>
        <v>131</v>
      </c>
      <c r="C457" s="106">
        <f t="shared" si="67"/>
        <v>55061</v>
      </c>
      <c r="D457" s="795">
        <f t="shared" si="62"/>
        <v>0</v>
      </c>
      <c r="E457" s="795">
        <f>IF($A457="","",IF($A457=1,D$29*$F457*($C457-$C$28)/$K$17,
(D457*ROUND(($C457-VLOOKUP($A457-1,$A$28:$C457,3,0))/30,0)/12*$F457)
))</f>
        <v>0</v>
      </c>
      <c r="F457" s="107">
        <f t="shared" si="63"/>
        <v>0.06</v>
      </c>
      <c r="G457" s="795">
        <f t="shared" si="59"/>
        <v>0</v>
      </c>
      <c r="H457" s="795">
        <f t="shared" si="64"/>
        <v>0</v>
      </c>
      <c r="I457" s="795">
        <f t="shared" si="65"/>
        <v>0</v>
      </c>
      <c r="J457" s="795">
        <f t="shared" si="66"/>
        <v>0</v>
      </c>
      <c r="K457" s="108">
        <f t="shared" si="60"/>
        <v>2050</v>
      </c>
      <c r="L457" s="646" t="str">
        <f t="shared" si="61"/>
        <v/>
      </c>
    </row>
    <row r="458" spans="1:12" ht="12.75" customHeight="1">
      <c r="A458" s="645" t="str">
        <f>IF(B458&lt;&gt;"",MAX(A$28:A457)+1,IF(ISNA(HLOOKUP(DATE(YEAR($C$21),MONTH(C458),DAY(C458)),$C$21:$N$21,1,0)),"",MAX(A$28:A457)+1))</f>
        <v/>
      </c>
      <c r="B458" s="91" t="str">
        <f>IF(C458&lt;$K$16,"",IF(ISNA(HLOOKUP(DATE(YEAR($C$20),MONTH($C458),DAY($C458)),$C$20:$N$20,1,0)),"",MAX(B$28:B457)+1))</f>
        <v/>
      </c>
      <c r="C458" s="106">
        <f t="shared" si="67"/>
        <v>55092</v>
      </c>
      <c r="D458" s="795">
        <f t="shared" si="62"/>
        <v>0</v>
      </c>
      <c r="E458" s="795" t="str">
        <f>IF($A458="","",IF($A458=1,D$29*$F458*($C458-$C$28)/$K$17,
(D458*ROUND(($C458-VLOOKUP($A458-1,$A$28:$C458,3,0))/30,0)/12*$F458)
))</f>
        <v/>
      </c>
      <c r="F458" s="107">
        <f t="shared" si="63"/>
        <v>0.06</v>
      </c>
      <c r="G458" s="795">
        <f t="shared" si="59"/>
        <v>0</v>
      </c>
      <c r="H458" s="795">
        <f t="shared" si="64"/>
        <v>0</v>
      </c>
      <c r="I458" s="795">
        <f t="shared" si="65"/>
        <v>0</v>
      </c>
      <c r="J458" s="795">
        <f t="shared" si="66"/>
        <v>0</v>
      </c>
      <c r="K458" s="108">
        <f t="shared" si="60"/>
        <v>2050</v>
      </c>
      <c r="L458" s="646" t="str">
        <f t="shared" si="61"/>
        <v/>
      </c>
    </row>
    <row r="459" spans="1:12" ht="12.75" customHeight="1">
      <c r="A459" s="645" t="str">
        <f>IF(B459&lt;&gt;"",MAX(A$28:A458)+1,IF(ISNA(HLOOKUP(DATE(YEAR($C$21),MONTH(C459),DAY(C459)),$C$21:$N$21,1,0)),"",MAX(A$28:A458)+1))</f>
        <v/>
      </c>
      <c r="B459" s="91" t="str">
        <f>IF(C459&lt;$K$16,"",IF(ISNA(HLOOKUP(DATE(YEAR($C$20),MONTH($C459),DAY($C459)),$C$20:$N$20,1,0)),"",MAX(B$28:B458)+1))</f>
        <v/>
      </c>
      <c r="C459" s="106">
        <f t="shared" si="67"/>
        <v>55122</v>
      </c>
      <c r="D459" s="795">
        <f t="shared" si="62"/>
        <v>0</v>
      </c>
      <c r="E459" s="795" t="str">
        <f>IF($A459="","",IF($A459=1,D$29*$F459*($C459-$C$28)/$K$17,
(D459*ROUND(($C459-VLOOKUP($A459-1,$A$28:$C459,3,0))/30,0)/12*$F459)
))</f>
        <v/>
      </c>
      <c r="F459" s="107">
        <f t="shared" si="63"/>
        <v>0.06</v>
      </c>
      <c r="G459" s="795">
        <f t="shared" si="59"/>
        <v>0</v>
      </c>
      <c r="H459" s="795">
        <f t="shared" si="64"/>
        <v>0</v>
      </c>
      <c r="I459" s="795">
        <f t="shared" si="65"/>
        <v>0</v>
      </c>
      <c r="J459" s="795">
        <f t="shared" si="66"/>
        <v>0</v>
      </c>
      <c r="K459" s="108">
        <f t="shared" si="60"/>
        <v>2050</v>
      </c>
      <c r="L459" s="646" t="str">
        <f t="shared" si="61"/>
        <v/>
      </c>
    </row>
    <row r="460" spans="1:12" ht="12.75" customHeight="1">
      <c r="A460" s="645">
        <f>IF(B460&lt;&gt;"",MAX(A$28:A459)+1,IF(ISNA(HLOOKUP(DATE(YEAR($C$21),MONTH(C460),DAY(C460)),$C$21:$N$21,1,0)),"",MAX(A$28:A459)+1))</f>
        <v>144</v>
      </c>
      <c r="B460" s="91">
        <f>IF(C460&lt;$K$16,"",IF(ISNA(HLOOKUP(DATE(YEAR($C$20),MONTH($C460),DAY($C460)),$C$20:$N$20,1,0)),"",MAX(B$28:B459)+1))</f>
        <v>132</v>
      </c>
      <c r="C460" s="106">
        <f t="shared" si="67"/>
        <v>55153</v>
      </c>
      <c r="D460" s="795">
        <f t="shared" si="62"/>
        <v>0</v>
      </c>
      <c r="E460" s="795">
        <f>IF($A460="","",IF($A460=1,D$29*$F460*($C460-$C$28)/$K$17,
(D460*ROUND(($C460-VLOOKUP($A460-1,$A$28:$C460,3,0))/30,0)/12*$F460)
))</f>
        <v>0</v>
      </c>
      <c r="F460" s="107">
        <f t="shared" si="63"/>
        <v>0.06</v>
      </c>
      <c r="G460" s="795">
        <f t="shared" si="59"/>
        <v>0</v>
      </c>
      <c r="H460" s="795">
        <f t="shared" si="64"/>
        <v>0</v>
      </c>
      <c r="I460" s="795">
        <f t="shared" si="65"/>
        <v>0</v>
      </c>
      <c r="J460" s="795">
        <f t="shared" si="66"/>
        <v>0</v>
      </c>
      <c r="K460" s="108">
        <f t="shared" si="60"/>
        <v>2050</v>
      </c>
      <c r="L460" s="646" t="str">
        <f t="shared" si="61"/>
        <v/>
      </c>
    </row>
    <row r="461" spans="1:12" ht="12.75" customHeight="1">
      <c r="A461" s="645" t="str">
        <f>IF(B461&lt;&gt;"",MAX(A$28:A460)+1,IF(ISNA(HLOOKUP(DATE(YEAR($C$21),MONTH(C461),DAY(C461)),$C$21:$N$21,1,0)),"",MAX(A$28:A460)+1))</f>
        <v/>
      </c>
      <c r="B461" s="91" t="str">
        <f>IF(C461&lt;$K$16,"",IF(ISNA(HLOOKUP(DATE(YEAR($C$20),MONTH($C461),DAY($C461)),$C$20:$N$20,1,0)),"",MAX(B$28:B460)+1))</f>
        <v/>
      </c>
      <c r="C461" s="106">
        <f t="shared" si="67"/>
        <v>55184</v>
      </c>
      <c r="D461" s="795">
        <f t="shared" si="62"/>
        <v>0</v>
      </c>
      <c r="E461" s="795" t="str">
        <f>IF($A461="","",IF($A461=1,D$29*$F461*($C461-$C$28)/$K$17,
(D461*ROUND(($C461-VLOOKUP($A461-1,$A$28:$C461,3,0))/30,0)/12*$F461)
))</f>
        <v/>
      </c>
      <c r="F461" s="107">
        <f t="shared" si="63"/>
        <v>0.06</v>
      </c>
      <c r="G461" s="795">
        <f t="shared" si="59"/>
        <v>0</v>
      </c>
      <c r="H461" s="795">
        <f t="shared" si="64"/>
        <v>0</v>
      </c>
      <c r="I461" s="795">
        <f t="shared" si="65"/>
        <v>0</v>
      </c>
      <c r="J461" s="795">
        <f t="shared" si="66"/>
        <v>0</v>
      </c>
      <c r="K461" s="108">
        <f t="shared" si="60"/>
        <v>2051</v>
      </c>
      <c r="L461" s="646" t="str">
        <f t="shared" si="61"/>
        <v/>
      </c>
    </row>
    <row r="462" spans="1:12" ht="12.75" customHeight="1">
      <c r="A462" s="645" t="str">
        <f>IF(B462&lt;&gt;"",MAX(A$28:A461)+1,IF(ISNA(HLOOKUP(DATE(YEAR($C$21),MONTH(C462),DAY(C462)),$C$21:$N$21,1,0)),"",MAX(A$28:A461)+1))</f>
        <v/>
      </c>
      <c r="B462" s="91" t="str">
        <f>IF(C462&lt;$K$16,"",IF(ISNA(HLOOKUP(DATE(YEAR($C$20),MONTH($C462),DAY($C462)),$C$20:$N$20,1,0)),"",MAX(B$28:B461)+1))</f>
        <v/>
      </c>
      <c r="C462" s="106">
        <f t="shared" si="67"/>
        <v>55212</v>
      </c>
      <c r="D462" s="795">
        <f t="shared" si="62"/>
        <v>0</v>
      </c>
      <c r="E462" s="795" t="str">
        <f>IF($A462="","",IF($A462=1,D$29*$F462*($C462-$C$28)/$K$17,
(D462*ROUND(($C462-VLOOKUP($A462-1,$A$28:$C462,3,0))/30,0)/12*$F462)
))</f>
        <v/>
      </c>
      <c r="F462" s="107">
        <f t="shared" si="63"/>
        <v>0.06</v>
      </c>
      <c r="G462" s="795">
        <f t="shared" si="59"/>
        <v>0</v>
      </c>
      <c r="H462" s="795">
        <f t="shared" si="64"/>
        <v>0</v>
      </c>
      <c r="I462" s="795">
        <f t="shared" si="65"/>
        <v>0</v>
      </c>
      <c r="J462" s="795">
        <f t="shared" si="66"/>
        <v>0</v>
      </c>
      <c r="K462" s="108">
        <f t="shared" si="60"/>
        <v>2051</v>
      </c>
      <c r="L462" s="646" t="str">
        <f t="shared" si="61"/>
        <v/>
      </c>
    </row>
    <row r="463" spans="1:12" ht="12.75" customHeight="1">
      <c r="A463" s="645">
        <f>IF(B463&lt;&gt;"",MAX(A$28:A462)+1,IF(ISNA(HLOOKUP(DATE(YEAR($C$21),MONTH(C463),DAY(C463)),$C$21:$N$21,1,0)),"",MAX(A$28:A462)+1))</f>
        <v>145</v>
      </c>
      <c r="B463" s="91">
        <f>IF(C463&lt;$K$16,"",IF(ISNA(HLOOKUP(DATE(YEAR($C$20),MONTH($C463),DAY($C463)),$C$20:$N$20,1,0)),"",MAX(B$28:B462)+1))</f>
        <v>133</v>
      </c>
      <c r="C463" s="106">
        <f t="shared" si="67"/>
        <v>55243</v>
      </c>
      <c r="D463" s="795">
        <f t="shared" si="62"/>
        <v>0</v>
      </c>
      <c r="E463" s="795">
        <f>IF($A463="","",IF($A463=1,D$29*$F463*($C463-$C$28)/$K$17,
(D463*ROUND(($C463-VLOOKUP($A463-1,$A$28:$C463,3,0))/30,0)/12*$F463)
))</f>
        <v>0</v>
      </c>
      <c r="F463" s="107">
        <f t="shared" si="63"/>
        <v>0.06</v>
      </c>
      <c r="G463" s="795">
        <f t="shared" si="59"/>
        <v>0</v>
      </c>
      <c r="H463" s="795">
        <f t="shared" si="64"/>
        <v>0</v>
      </c>
      <c r="I463" s="795">
        <f t="shared" si="65"/>
        <v>0</v>
      </c>
      <c r="J463" s="795">
        <f t="shared" si="66"/>
        <v>0</v>
      </c>
      <c r="K463" s="108">
        <f t="shared" si="60"/>
        <v>2051</v>
      </c>
      <c r="L463" s="646" t="str">
        <f t="shared" si="61"/>
        <v/>
      </c>
    </row>
    <row r="464" spans="1:12" ht="12.75" customHeight="1">
      <c r="A464" s="645" t="str">
        <f>IF(B464&lt;&gt;"",MAX(A$28:A463)+1,IF(ISNA(HLOOKUP(DATE(YEAR($C$21),MONTH(C464),DAY(C464)),$C$21:$N$21,1,0)),"",MAX(A$28:A463)+1))</f>
        <v/>
      </c>
      <c r="B464" s="91" t="str">
        <f>IF(C464&lt;$K$16,"",IF(ISNA(HLOOKUP(DATE(YEAR($C$20),MONTH($C464),DAY($C464)),$C$20:$N$20,1,0)),"",MAX(B$28:B463)+1))</f>
        <v/>
      </c>
      <c r="C464" s="106">
        <f t="shared" si="67"/>
        <v>55273</v>
      </c>
      <c r="D464" s="795">
        <f t="shared" si="62"/>
        <v>0</v>
      </c>
      <c r="E464" s="795" t="str">
        <f>IF($A464="","",IF($A464=1,D$29*$F464*($C464-$C$28)/$K$17,
(D464*ROUND(($C464-VLOOKUP($A464-1,$A$28:$C464,3,0))/30,0)/12*$F464)
))</f>
        <v/>
      </c>
      <c r="F464" s="107">
        <f t="shared" si="63"/>
        <v>0.06</v>
      </c>
      <c r="G464" s="795">
        <f t="shared" si="59"/>
        <v>0</v>
      </c>
      <c r="H464" s="795">
        <f t="shared" si="64"/>
        <v>0</v>
      </c>
      <c r="I464" s="795">
        <f t="shared" si="65"/>
        <v>0</v>
      </c>
      <c r="J464" s="795">
        <f t="shared" si="66"/>
        <v>0</v>
      </c>
      <c r="K464" s="108">
        <f t="shared" si="60"/>
        <v>2051</v>
      </c>
      <c r="L464" s="646" t="str">
        <f t="shared" si="61"/>
        <v/>
      </c>
    </row>
    <row r="465" spans="1:12" ht="12.75" customHeight="1">
      <c r="A465" s="645" t="str">
        <f>IF(B465&lt;&gt;"",MAX(A$28:A464)+1,IF(ISNA(HLOOKUP(DATE(YEAR($C$21),MONTH(C465),DAY(C465)),$C$21:$N$21,1,0)),"",MAX(A$28:A464)+1))</f>
        <v/>
      </c>
      <c r="B465" s="91" t="str">
        <f>IF(C465&lt;$K$16,"",IF(ISNA(HLOOKUP(DATE(YEAR($C$20),MONTH($C465),DAY($C465)),$C$20:$N$20,1,0)),"",MAX(B$28:B464)+1))</f>
        <v/>
      </c>
      <c r="C465" s="106">
        <f t="shared" si="67"/>
        <v>55304</v>
      </c>
      <c r="D465" s="795">
        <f t="shared" si="62"/>
        <v>0</v>
      </c>
      <c r="E465" s="795" t="str">
        <f>IF($A465="","",IF($A465=1,D$29*$F465*($C465-$C$28)/$K$17,
(D465*ROUND(($C465-VLOOKUP($A465-1,$A$28:$C465,3,0))/30,0)/12*$F465)
))</f>
        <v/>
      </c>
      <c r="F465" s="107">
        <f t="shared" si="63"/>
        <v>0.06</v>
      </c>
      <c r="G465" s="795">
        <f t="shared" si="59"/>
        <v>0</v>
      </c>
      <c r="H465" s="795">
        <f t="shared" si="64"/>
        <v>0</v>
      </c>
      <c r="I465" s="795">
        <f t="shared" si="65"/>
        <v>0</v>
      </c>
      <c r="J465" s="795">
        <f t="shared" si="66"/>
        <v>0</v>
      </c>
      <c r="K465" s="108">
        <f t="shared" si="60"/>
        <v>2051</v>
      </c>
      <c r="L465" s="646" t="str">
        <f t="shared" si="61"/>
        <v/>
      </c>
    </row>
    <row r="466" spans="1:12" ht="12.75" customHeight="1">
      <c r="A466" s="645">
        <f>IF(B466&lt;&gt;"",MAX(A$28:A465)+1,IF(ISNA(HLOOKUP(DATE(YEAR($C$21),MONTH(C466),DAY(C466)),$C$21:$N$21,1,0)),"",MAX(A$28:A465)+1))</f>
        <v>146</v>
      </c>
      <c r="B466" s="91">
        <f>IF(C466&lt;$K$16,"",IF(ISNA(HLOOKUP(DATE(YEAR($C$20),MONTH($C466),DAY($C466)),$C$20:$N$20,1,0)),"",MAX(B$28:B465)+1))</f>
        <v>134</v>
      </c>
      <c r="C466" s="106">
        <f t="shared" si="67"/>
        <v>55334</v>
      </c>
      <c r="D466" s="795">
        <f t="shared" si="62"/>
        <v>0</v>
      </c>
      <c r="E466" s="795">
        <f>IF($A466="","",IF($A466=1,D$29*$F466*($C466-$C$28)/$K$17,
(D466*ROUND(($C466-VLOOKUP($A466-1,$A$28:$C466,3,0))/30,0)/12*$F466)
))</f>
        <v>0</v>
      </c>
      <c r="F466" s="107">
        <f t="shared" si="63"/>
        <v>0.06</v>
      </c>
      <c r="G466" s="795">
        <f t="shared" si="59"/>
        <v>0</v>
      </c>
      <c r="H466" s="795">
        <f t="shared" si="64"/>
        <v>0</v>
      </c>
      <c r="I466" s="795">
        <f t="shared" si="65"/>
        <v>0</v>
      </c>
      <c r="J466" s="795">
        <f t="shared" si="66"/>
        <v>0</v>
      </c>
      <c r="K466" s="108">
        <f t="shared" si="60"/>
        <v>2051</v>
      </c>
      <c r="L466" s="646" t="str">
        <f t="shared" si="61"/>
        <v/>
      </c>
    </row>
    <row r="467" spans="1:12" ht="12.75" customHeight="1">
      <c r="A467" s="645" t="str">
        <f>IF(B467&lt;&gt;"",MAX(A$28:A466)+1,IF(ISNA(HLOOKUP(DATE(YEAR($C$21),MONTH(C467),DAY(C467)),$C$21:$N$21,1,0)),"",MAX(A$28:A466)+1))</f>
        <v/>
      </c>
      <c r="B467" s="91" t="str">
        <f>IF(C467&lt;$K$16,"",IF(ISNA(HLOOKUP(DATE(YEAR($C$20),MONTH($C467),DAY($C467)),$C$20:$N$20,1,0)),"",MAX(B$28:B466)+1))</f>
        <v/>
      </c>
      <c r="C467" s="106">
        <f t="shared" si="67"/>
        <v>55365</v>
      </c>
      <c r="D467" s="795">
        <f t="shared" si="62"/>
        <v>0</v>
      </c>
      <c r="E467" s="795" t="str">
        <f>IF($A467="","",IF($A467=1,D$29*$F467*($C467-$C$28)/$K$17,
(D467*ROUND(($C467-VLOOKUP($A467-1,$A$28:$C467,3,0))/30,0)/12*$F467)
))</f>
        <v/>
      </c>
      <c r="F467" s="107">
        <f t="shared" si="63"/>
        <v>0.06</v>
      </c>
      <c r="G467" s="795">
        <f t="shared" si="59"/>
        <v>0</v>
      </c>
      <c r="H467" s="795">
        <f t="shared" si="64"/>
        <v>0</v>
      </c>
      <c r="I467" s="795">
        <f t="shared" si="65"/>
        <v>0</v>
      </c>
      <c r="J467" s="795">
        <f t="shared" si="66"/>
        <v>0</v>
      </c>
      <c r="K467" s="108">
        <f t="shared" si="60"/>
        <v>2051</v>
      </c>
      <c r="L467" s="646" t="str">
        <f t="shared" si="61"/>
        <v/>
      </c>
    </row>
    <row r="468" spans="1:12" ht="12.75" customHeight="1">
      <c r="A468" s="645" t="str">
        <f>IF(B468&lt;&gt;"",MAX(A$28:A467)+1,IF(ISNA(HLOOKUP(DATE(YEAR($C$21),MONTH(C468),DAY(C468)),$C$21:$N$21,1,0)),"",MAX(A$28:A467)+1))</f>
        <v/>
      </c>
      <c r="B468" s="91" t="str">
        <f>IF(C468&lt;$K$16,"",IF(ISNA(HLOOKUP(DATE(YEAR($C$20),MONTH($C468),DAY($C468)),$C$20:$N$20,1,0)),"",MAX(B$28:B467)+1))</f>
        <v/>
      </c>
      <c r="C468" s="106">
        <f t="shared" si="67"/>
        <v>55396</v>
      </c>
      <c r="D468" s="795">
        <f t="shared" si="62"/>
        <v>0</v>
      </c>
      <c r="E468" s="795" t="str">
        <f>IF($A468="","",IF($A468=1,D$29*$F468*($C468-$C$28)/$K$17,
(D468*ROUND(($C468-VLOOKUP($A468-1,$A$28:$C468,3,0))/30,0)/12*$F468)
))</f>
        <v/>
      </c>
      <c r="F468" s="107">
        <f t="shared" si="63"/>
        <v>0.06</v>
      </c>
      <c r="G468" s="795">
        <f t="shared" si="59"/>
        <v>0</v>
      </c>
      <c r="H468" s="795">
        <f t="shared" si="64"/>
        <v>0</v>
      </c>
      <c r="I468" s="795">
        <f t="shared" si="65"/>
        <v>0</v>
      </c>
      <c r="J468" s="795">
        <f t="shared" si="66"/>
        <v>0</v>
      </c>
      <c r="K468" s="108">
        <f t="shared" si="60"/>
        <v>2051</v>
      </c>
      <c r="L468" s="646" t="str">
        <f t="shared" si="61"/>
        <v/>
      </c>
    </row>
    <row r="469" spans="1:12" ht="12.75" customHeight="1">
      <c r="A469" s="645">
        <f>IF(B469&lt;&gt;"",MAX(A$28:A468)+1,IF(ISNA(HLOOKUP(DATE(YEAR($C$21),MONTH(C469),DAY(C469)),$C$21:$N$21,1,0)),"",MAX(A$28:A468)+1))</f>
        <v>147</v>
      </c>
      <c r="B469" s="91">
        <f>IF(C469&lt;$K$16,"",IF(ISNA(HLOOKUP(DATE(YEAR($C$20),MONTH($C469),DAY($C469)),$C$20:$N$20,1,0)),"",MAX(B$28:B468)+1))</f>
        <v>135</v>
      </c>
      <c r="C469" s="106">
        <f t="shared" si="67"/>
        <v>55426</v>
      </c>
      <c r="D469" s="795">
        <f t="shared" si="62"/>
        <v>0</v>
      </c>
      <c r="E469" s="795">
        <f>IF($A469="","",IF($A469=1,D$29*$F469*($C469-$C$28)/$K$17,
(D469*ROUND(($C469-VLOOKUP($A469-1,$A$28:$C469,3,0))/30,0)/12*$F469)
))</f>
        <v>0</v>
      </c>
      <c r="F469" s="107">
        <f t="shared" si="63"/>
        <v>0.06</v>
      </c>
      <c r="G469" s="795">
        <f t="shared" si="59"/>
        <v>0</v>
      </c>
      <c r="H469" s="795">
        <f t="shared" si="64"/>
        <v>0</v>
      </c>
      <c r="I469" s="795">
        <f t="shared" si="65"/>
        <v>0</v>
      </c>
      <c r="J469" s="795">
        <f t="shared" si="66"/>
        <v>0</v>
      </c>
      <c r="K469" s="108">
        <f t="shared" si="60"/>
        <v>2051</v>
      </c>
      <c r="L469" s="646" t="str">
        <f t="shared" si="61"/>
        <v/>
      </c>
    </row>
    <row r="470" spans="1:12" ht="12.75" customHeight="1">
      <c r="A470" s="645" t="str">
        <f>IF(B470&lt;&gt;"",MAX(A$28:A469)+1,IF(ISNA(HLOOKUP(DATE(YEAR($C$21),MONTH(C470),DAY(C470)),$C$21:$N$21,1,0)),"",MAX(A$28:A469)+1))</f>
        <v/>
      </c>
      <c r="B470" s="91" t="str">
        <f>IF(C470&lt;$K$16,"",IF(ISNA(HLOOKUP(DATE(YEAR($C$20),MONTH($C470),DAY($C470)),$C$20:$N$20,1,0)),"",MAX(B$28:B469)+1))</f>
        <v/>
      </c>
      <c r="C470" s="106">
        <f t="shared" si="67"/>
        <v>55457</v>
      </c>
      <c r="D470" s="795">
        <f t="shared" si="62"/>
        <v>0</v>
      </c>
      <c r="E470" s="795" t="str">
        <f>IF($A470="","",IF($A470=1,D$29*$F470*($C470-$C$28)/$K$17,
(D470*ROUND(($C470-VLOOKUP($A470-1,$A$28:$C470,3,0))/30,0)/12*$F470)
))</f>
        <v/>
      </c>
      <c r="F470" s="107">
        <f t="shared" si="63"/>
        <v>0.06</v>
      </c>
      <c r="G470" s="795">
        <f t="shared" si="59"/>
        <v>0</v>
      </c>
      <c r="H470" s="795">
        <f t="shared" si="64"/>
        <v>0</v>
      </c>
      <c r="I470" s="795">
        <f t="shared" si="65"/>
        <v>0</v>
      </c>
      <c r="J470" s="795">
        <f t="shared" si="66"/>
        <v>0</v>
      </c>
      <c r="K470" s="108">
        <f t="shared" si="60"/>
        <v>2051</v>
      </c>
      <c r="L470" s="646" t="str">
        <f t="shared" si="61"/>
        <v/>
      </c>
    </row>
    <row r="471" spans="1:12" ht="12.75" customHeight="1">
      <c r="A471" s="645" t="str">
        <f>IF(B471&lt;&gt;"",MAX(A$28:A470)+1,IF(ISNA(HLOOKUP(DATE(YEAR($C$21),MONTH(C471),DAY(C471)),$C$21:$N$21,1,0)),"",MAX(A$28:A470)+1))</f>
        <v/>
      </c>
      <c r="B471" s="91" t="str">
        <f>IF(C471&lt;$K$16,"",IF(ISNA(HLOOKUP(DATE(YEAR($C$20),MONTH($C471),DAY($C471)),$C$20:$N$20,1,0)),"",MAX(B$28:B470)+1))</f>
        <v/>
      </c>
      <c r="C471" s="106">
        <f t="shared" si="67"/>
        <v>55487</v>
      </c>
      <c r="D471" s="795">
        <f t="shared" si="62"/>
        <v>0</v>
      </c>
      <c r="E471" s="795" t="str">
        <f>IF($A471="","",IF($A471=1,D$29*$F471*($C471-$C$28)/$K$17,
(D471*ROUND(($C471-VLOOKUP($A471-1,$A$28:$C471,3,0))/30,0)/12*$F471)
))</f>
        <v/>
      </c>
      <c r="F471" s="107">
        <f t="shared" si="63"/>
        <v>0.06</v>
      </c>
      <c r="G471" s="795">
        <f t="shared" si="59"/>
        <v>0</v>
      </c>
      <c r="H471" s="795">
        <f t="shared" si="64"/>
        <v>0</v>
      </c>
      <c r="I471" s="795">
        <f t="shared" si="65"/>
        <v>0</v>
      </c>
      <c r="J471" s="795">
        <f t="shared" si="66"/>
        <v>0</v>
      </c>
      <c r="K471" s="108">
        <f t="shared" si="60"/>
        <v>2051</v>
      </c>
      <c r="L471" s="646" t="str">
        <f t="shared" si="61"/>
        <v/>
      </c>
    </row>
    <row r="472" spans="1:12" ht="12.75" customHeight="1">
      <c r="A472" s="645">
        <f>IF(B472&lt;&gt;"",MAX(A$28:A471)+1,IF(ISNA(HLOOKUP(DATE(YEAR($C$21),MONTH(C472),DAY(C472)),$C$21:$N$21,1,0)),"",MAX(A$28:A471)+1))</f>
        <v>148</v>
      </c>
      <c r="B472" s="91">
        <f>IF(C472&lt;$K$16,"",IF(ISNA(HLOOKUP(DATE(YEAR($C$20),MONTH($C472),DAY($C472)),$C$20:$N$20,1,0)),"",MAX(B$28:B471)+1))</f>
        <v>136</v>
      </c>
      <c r="C472" s="106">
        <f t="shared" si="67"/>
        <v>55518</v>
      </c>
      <c r="D472" s="795">
        <f t="shared" si="62"/>
        <v>0</v>
      </c>
      <c r="E472" s="795">
        <f>IF($A472="","",IF($A472=1,D$29*$F472*($C472-$C$28)/$K$17,
(D472*ROUND(($C472-VLOOKUP($A472-1,$A$28:$C472,3,0))/30,0)/12*$F472)
))</f>
        <v>0</v>
      </c>
      <c r="F472" s="107">
        <f t="shared" si="63"/>
        <v>0.06</v>
      </c>
      <c r="G472" s="795">
        <f t="shared" si="59"/>
        <v>0</v>
      </c>
      <c r="H472" s="795">
        <f t="shared" si="64"/>
        <v>0</v>
      </c>
      <c r="I472" s="795">
        <f t="shared" si="65"/>
        <v>0</v>
      </c>
      <c r="J472" s="795">
        <f t="shared" si="66"/>
        <v>0</v>
      </c>
      <c r="K472" s="108">
        <f t="shared" si="60"/>
        <v>2051</v>
      </c>
      <c r="L472" s="646" t="str">
        <f t="shared" si="61"/>
        <v/>
      </c>
    </row>
    <row r="473" spans="1:12" ht="12.75" customHeight="1">
      <c r="A473" s="645" t="str">
        <f>IF(B473&lt;&gt;"",MAX(A$28:A472)+1,IF(ISNA(HLOOKUP(DATE(YEAR($C$21),MONTH(C473),DAY(C473)),$C$21:$N$21,1,0)),"",MAX(A$28:A472)+1))</f>
        <v/>
      </c>
      <c r="B473" s="91" t="str">
        <f>IF(C473&lt;$K$16,"",IF(ISNA(HLOOKUP(DATE(YEAR($C$20),MONTH($C473),DAY($C473)),$C$20:$N$20,1,0)),"",MAX(B$28:B472)+1))</f>
        <v/>
      </c>
      <c r="C473" s="106">
        <f t="shared" si="67"/>
        <v>55549</v>
      </c>
      <c r="D473" s="795">
        <f t="shared" si="62"/>
        <v>0</v>
      </c>
      <c r="E473" s="795" t="str">
        <f>IF($A473="","",IF($A473=1,D$29*$F473*($C473-$C$28)/$K$17,
(D473*ROUND(($C473-VLOOKUP($A473-1,$A$28:$C473,3,0))/30,0)/12*$F473)
))</f>
        <v/>
      </c>
      <c r="F473" s="107">
        <f t="shared" si="63"/>
        <v>0.06</v>
      </c>
      <c r="G473" s="795">
        <f t="shared" si="59"/>
        <v>0</v>
      </c>
      <c r="H473" s="795">
        <f t="shared" si="64"/>
        <v>0</v>
      </c>
      <c r="I473" s="795">
        <f t="shared" si="65"/>
        <v>0</v>
      </c>
      <c r="J473" s="795">
        <f t="shared" si="66"/>
        <v>0</v>
      </c>
      <c r="K473" s="108">
        <f t="shared" si="60"/>
        <v>2052</v>
      </c>
      <c r="L473" s="646" t="str">
        <f t="shared" si="61"/>
        <v/>
      </c>
    </row>
    <row r="474" spans="1:12" ht="12.75" customHeight="1">
      <c r="A474" s="645" t="str">
        <f>IF(B474&lt;&gt;"",MAX(A$28:A473)+1,IF(ISNA(HLOOKUP(DATE(YEAR($C$21),MONTH(C474),DAY(C474)),$C$21:$N$21,1,0)),"",MAX(A$28:A473)+1))</f>
        <v/>
      </c>
      <c r="B474" s="91" t="str">
        <f>IF(C474&lt;$K$16,"",IF(ISNA(HLOOKUP(DATE(YEAR($C$20),MONTH($C474),DAY($C474)),$C$20:$N$20,1,0)),"",MAX(B$28:B473)+1))</f>
        <v/>
      </c>
      <c r="C474" s="106">
        <f t="shared" si="67"/>
        <v>55578</v>
      </c>
      <c r="D474" s="795">
        <f t="shared" si="62"/>
        <v>0</v>
      </c>
      <c r="E474" s="795" t="str">
        <f>IF($A474="","",IF($A474=1,D$29*$F474*($C474-$C$28)/$K$17,
(D474*ROUND(($C474-VLOOKUP($A474-1,$A$28:$C474,3,0))/30,0)/12*$F474)
))</f>
        <v/>
      </c>
      <c r="F474" s="107">
        <f t="shared" si="63"/>
        <v>0.06</v>
      </c>
      <c r="G474" s="795">
        <f t="shared" si="59"/>
        <v>0</v>
      </c>
      <c r="H474" s="795">
        <f t="shared" si="64"/>
        <v>0</v>
      </c>
      <c r="I474" s="795">
        <f t="shared" si="65"/>
        <v>0</v>
      </c>
      <c r="J474" s="795">
        <f t="shared" si="66"/>
        <v>0</v>
      </c>
      <c r="K474" s="108">
        <f t="shared" si="60"/>
        <v>2052</v>
      </c>
      <c r="L474" s="646" t="str">
        <f t="shared" si="61"/>
        <v/>
      </c>
    </row>
    <row r="475" spans="1:12" ht="12.75" customHeight="1">
      <c r="A475" s="645">
        <f>IF(B475&lt;&gt;"",MAX(A$28:A474)+1,IF(ISNA(HLOOKUP(DATE(YEAR($C$21),MONTH(C475),DAY(C475)),$C$21:$N$21,1,0)),"",MAX(A$28:A474)+1))</f>
        <v>149</v>
      </c>
      <c r="B475" s="91">
        <f>IF(C475&lt;$K$16,"",IF(ISNA(HLOOKUP(DATE(YEAR($C$20),MONTH($C475),DAY($C475)),$C$20:$N$20,1,0)),"",MAX(B$28:B474)+1))</f>
        <v>137</v>
      </c>
      <c r="C475" s="106">
        <f t="shared" si="67"/>
        <v>55609</v>
      </c>
      <c r="D475" s="795">
        <f t="shared" si="62"/>
        <v>0</v>
      </c>
      <c r="E475" s="795">
        <f>IF($A475="","",IF($A475=1,D$29*$F475*($C475-$C$28)/$K$17,
(D475*ROUND(($C475-VLOOKUP($A475-1,$A$28:$C475,3,0))/30,0)/12*$F475)
))</f>
        <v>0</v>
      </c>
      <c r="F475" s="107">
        <f t="shared" si="63"/>
        <v>0.06</v>
      </c>
      <c r="G475" s="795">
        <f t="shared" si="59"/>
        <v>0</v>
      </c>
      <c r="H475" s="795">
        <f t="shared" si="64"/>
        <v>0</v>
      </c>
      <c r="I475" s="795">
        <f t="shared" si="65"/>
        <v>0</v>
      </c>
      <c r="J475" s="795">
        <f t="shared" si="66"/>
        <v>0</v>
      </c>
      <c r="K475" s="108">
        <f t="shared" si="60"/>
        <v>2052</v>
      </c>
      <c r="L475" s="646" t="str">
        <f t="shared" si="61"/>
        <v/>
      </c>
    </row>
    <row r="476" spans="1:12" ht="12.75" customHeight="1">
      <c r="A476" s="645" t="str">
        <f>IF(B476&lt;&gt;"",MAX(A$28:A475)+1,IF(ISNA(HLOOKUP(DATE(YEAR($C$21),MONTH(C476),DAY(C476)),$C$21:$N$21,1,0)),"",MAX(A$28:A475)+1))</f>
        <v/>
      </c>
      <c r="B476" s="91" t="str">
        <f>IF(C476&lt;$K$16,"",IF(ISNA(HLOOKUP(DATE(YEAR($C$20),MONTH($C476),DAY($C476)),$C$20:$N$20,1,0)),"",MAX(B$28:B475)+1))</f>
        <v/>
      </c>
      <c r="C476" s="106">
        <f t="shared" si="67"/>
        <v>55639</v>
      </c>
      <c r="D476" s="795">
        <f t="shared" si="62"/>
        <v>0</v>
      </c>
      <c r="E476" s="795" t="str">
        <f>IF($A476="","",IF($A476=1,D$29*$F476*($C476-$C$28)/$K$17,
(D476*ROUND(($C476-VLOOKUP($A476-1,$A$28:$C476,3,0))/30,0)/12*$F476)
))</f>
        <v/>
      </c>
      <c r="F476" s="107">
        <f t="shared" si="63"/>
        <v>0.06</v>
      </c>
      <c r="G476" s="795">
        <f t="shared" ref="G476:G500" si="68">IF($A$26=1,I476,H476)</f>
        <v>0</v>
      </c>
      <c r="H476" s="795">
        <f t="shared" si="64"/>
        <v>0</v>
      </c>
      <c r="I476" s="795">
        <f t="shared" si="65"/>
        <v>0</v>
      </c>
      <c r="J476" s="795">
        <f t="shared" si="66"/>
        <v>0</v>
      </c>
      <c r="K476" s="108">
        <f t="shared" ref="K476:K500" si="69">YEAR(C476)</f>
        <v>2052</v>
      </c>
      <c r="L476" s="646" t="str">
        <f t="shared" ref="L476:L500" si="70">IF(AND(D476&gt;1,D477&lt;1),C476,"")</f>
        <v/>
      </c>
    </row>
    <row r="477" spans="1:12" ht="12.75" customHeight="1">
      <c r="A477" s="645" t="str">
        <f>IF(B477&lt;&gt;"",MAX(A$28:A476)+1,IF(ISNA(HLOOKUP(DATE(YEAR($C$21),MONTH(C477),DAY(C477)),$C$21:$N$21,1,0)),"",MAX(A$28:A476)+1))</f>
        <v/>
      </c>
      <c r="B477" s="91" t="str">
        <f>IF(C477&lt;$K$16,"",IF(ISNA(HLOOKUP(DATE(YEAR($C$20),MONTH($C477),DAY($C477)),$C$20:$N$20,1,0)),"",MAX(B$28:B476)+1))</f>
        <v/>
      </c>
      <c r="C477" s="106">
        <f t="shared" si="67"/>
        <v>55670</v>
      </c>
      <c r="D477" s="795">
        <f t="shared" ref="D477:D500" si="71">D476-G476</f>
        <v>0</v>
      </c>
      <c r="E477" s="795" t="str">
        <f>IF($A477="","",IF($A477=1,D$29*$F477*($C477-$C$28)/$K$17,
(D477*ROUND(($C477-VLOOKUP($A477-1,$A$28:$C477,3,0))/30,0)/12*$F477)
))</f>
        <v/>
      </c>
      <c r="F477" s="107">
        <f t="shared" ref="F477:F500" si="72">IF(C477&gt;=$E$16,$E$15,$C$15)</f>
        <v>0.06</v>
      </c>
      <c r="G477" s="795">
        <f t="shared" si="68"/>
        <v>0</v>
      </c>
      <c r="H477" s="795">
        <f t="shared" ref="H477:H500" si="73">IF(B477="",0,MIN(D477,$E$14*$K$15/$H$16))</f>
        <v>0</v>
      </c>
      <c r="I477" s="795">
        <f t="shared" ref="I477:I500" si="74">IF(B477="",0,MIN(D476,IF(C477&gt;$E$16,$H$18,$H$15)/$H$16-E477))</f>
        <v>0</v>
      </c>
      <c r="J477" s="795">
        <f t="shared" ref="J477:J500" si="75">SUM(E477,G477)</f>
        <v>0</v>
      </c>
      <c r="K477" s="108">
        <f t="shared" si="69"/>
        <v>2052</v>
      </c>
      <c r="L477" s="646" t="str">
        <f t="shared" si="70"/>
        <v/>
      </c>
    </row>
    <row r="478" spans="1:12" ht="12.75" customHeight="1">
      <c r="A478" s="645">
        <f>IF(B478&lt;&gt;"",MAX(A$28:A477)+1,IF(ISNA(HLOOKUP(DATE(YEAR($C$21),MONTH(C478),DAY(C478)),$C$21:$N$21,1,0)),"",MAX(A$28:A477)+1))</f>
        <v>150</v>
      </c>
      <c r="B478" s="91">
        <f>IF(C478&lt;$K$16,"",IF(ISNA(HLOOKUP(DATE(YEAR($C$20),MONTH($C478),DAY($C478)),$C$20:$N$20,1,0)),"",MAX(B$28:B477)+1))</f>
        <v>138</v>
      </c>
      <c r="C478" s="106">
        <f t="shared" ref="C478:C500" si="76">DATE(YEAR(C477),MONTH(C477)+2,1)-1</f>
        <v>55700</v>
      </c>
      <c r="D478" s="795">
        <f t="shared" si="71"/>
        <v>0</v>
      </c>
      <c r="E478" s="795">
        <f>IF($A478="","",IF($A478=1,D$29*$F478*($C478-$C$28)/$K$17,
(D478*ROUND(($C478-VLOOKUP($A478-1,$A$28:$C478,3,0))/30,0)/12*$F478)
))</f>
        <v>0</v>
      </c>
      <c r="F478" s="107">
        <f t="shared" si="72"/>
        <v>0.06</v>
      </c>
      <c r="G478" s="795">
        <f t="shared" si="68"/>
        <v>0</v>
      </c>
      <c r="H478" s="795">
        <f t="shared" si="73"/>
        <v>0</v>
      </c>
      <c r="I478" s="795">
        <f t="shared" si="74"/>
        <v>0</v>
      </c>
      <c r="J478" s="795">
        <f t="shared" si="75"/>
        <v>0</v>
      </c>
      <c r="K478" s="108">
        <f t="shared" si="69"/>
        <v>2052</v>
      </c>
      <c r="L478" s="646" t="str">
        <f t="shared" si="70"/>
        <v/>
      </c>
    </row>
    <row r="479" spans="1:12" ht="12.75" customHeight="1">
      <c r="A479" s="645" t="str">
        <f>IF(B479&lt;&gt;"",MAX(A$28:A478)+1,IF(ISNA(HLOOKUP(DATE(YEAR($C$21),MONTH(C479),DAY(C479)),$C$21:$N$21,1,0)),"",MAX(A$28:A478)+1))</f>
        <v/>
      </c>
      <c r="B479" s="91" t="str">
        <f>IF(C479&lt;$K$16,"",IF(ISNA(HLOOKUP(DATE(YEAR($C$20),MONTH($C479),DAY($C479)),$C$20:$N$20,1,0)),"",MAX(B$28:B478)+1))</f>
        <v/>
      </c>
      <c r="C479" s="106">
        <f t="shared" si="76"/>
        <v>55731</v>
      </c>
      <c r="D479" s="795">
        <f t="shared" si="71"/>
        <v>0</v>
      </c>
      <c r="E479" s="795" t="str">
        <f>IF($A479="","",IF($A479=1,D$29*$F479*($C479-$C$28)/$K$17,
(D479*ROUND(($C479-VLOOKUP($A479-1,$A$28:$C479,3,0))/30,0)/12*$F479)
))</f>
        <v/>
      </c>
      <c r="F479" s="107">
        <f t="shared" si="72"/>
        <v>0.06</v>
      </c>
      <c r="G479" s="795">
        <f t="shared" si="68"/>
        <v>0</v>
      </c>
      <c r="H479" s="795">
        <f t="shared" si="73"/>
        <v>0</v>
      </c>
      <c r="I479" s="795">
        <f t="shared" si="74"/>
        <v>0</v>
      </c>
      <c r="J479" s="795">
        <f t="shared" si="75"/>
        <v>0</v>
      </c>
      <c r="K479" s="108">
        <f t="shared" si="69"/>
        <v>2052</v>
      </c>
      <c r="L479" s="646" t="str">
        <f t="shared" si="70"/>
        <v/>
      </c>
    </row>
    <row r="480" spans="1:12" ht="12.75" customHeight="1">
      <c r="A480" s="645" t="str">
        <f>IF(B480&lt;&gt;"",MAX(A$28:A479)+1,IF(ISNA(HLOOKUP(DATE(YEAR($C$21),MONTH(C480),DAY(C480)),$C$21:$N$21,1,0)),"",MAX(A$28:A479)+1))</f>
        <v/>
      </c>
      <c r="B480" s="91" t="str">
        <f>IF(C480&lt;$K$16,"",IF(ISNA(HLOOKUP(DATE(YEAR($C$20),MONTH($C480),DAY($C480)),$C$20:$N$20,1,0)),"",MAX(B$28:B479)+1))</f>
        <v/>
      </c>
      <c r="C480" s="106">
        <f t="shared" si="76"/>
        <v>55762</v>
      </c>
      <c r="D480" s="795">
        <f t="shared" si="71"/>
        <v>0</v>
      </c>
      <c r="E480" s="795" t="str">
        <f>IF($A480="","",IF($A480=1,D$29*$F480*($C480-$C$28)/$K$17,
(D480*ROUND(($C480-VLOOKUP($A480-1,$A$28:$C480,3,0))/30,0)/12*$F480)
))</f>
        <v/>
      </c>
      <c r="F480" s="107">
        <f t="shared" si="72"/>
        <v>0.06</v>
      </c>
      <c r="G480" s="795">
        <f t="shared" si="68"/>
        <v>0</v>
      </c>
      <c r="H480" s="795">
        <f t="shared" si="73"/>
        <v>0</v>
      </c>
      <c r="I480" s="795">
        <f t="shared" si="74"/>
        <v>0</v>
      </c>
      <c r="J480" s="795">
        <f t="shared" si="75"/>
        <v>0</v>
      </c>
      <c r="K480" s="108">
        <f t="shared" si="69"/>
        <v>2052</v>
      </c>
      <c r="L480" s="646" t="str">
        <f t="shared" si="70"/>
        <v/>
      </c>
    </row>
    <row r="481" spans="1:12" ht="12.75" customHeight="1">
      <c r="A481" s="645">
        <f>IF(B481&lt;&gt;"",MAX(A$28:A480)+1,IF(ISNA(HLOOKUP(DATE(YEAR($C$21),MONTH(C481),DAY(C481)),$C$21:$N$21,1,0)),"",MAX(A$28:A480)+1))</f>
        <v>151</v>
      </c>
      <c r="B481" s="91">
        <f>IF(C481&lt;$K$16,"",IF(ISNA(HLOOKUP(DATE(YEAR($C$20),MONTH($C481),DAY($C481)),$C$20:$N$20,1,0)),"",MAX(B$28:B480)+1))</f>
        <v>139</v>
      </c>
      <c r="C481" s="106">
        <f t="shared" si="76"/>
        <v>55792</v>
      </c>
      <c r="D481" s="795">
        <f t="shared" si="71"/>
        <v>0</v>
      </c>
      <c r="E481" s="795">
        <f>IF($A481="","",IF($A481=1,D$29*$F481*($C481-$C$28)/$K$17,
(D481*ROUND(($C481-VLOOKUP($A481-1,$A$28:$C481,3,0))/30,0)/12*$F481)
))</f>
        <v>0</v>
      </c>
      <c r="F481" s="107">
        <f t="shared" si="72"/>
        <v>0.06</v>
      </c>
      <c r="G481" s="795">
        <f t="shared" si="68"/>
        <v>0</v>
      </c>
      <c r="H481" s="795">
        <f t="shared" si="73"/>
        <v>0</v>
      </c>
      <c r="I481" s="795">
        <f t="shared" si="74"/>
        <v>0</v>
      </c>
      <c r="J481" s="795">
        <f t="shared" si="75"/>
        <v>0</v>
      </c>
      <c r="K481" s="108">
        <f t="shared" si="69"/>
        <v>2052</v>
      </c>
      <c r="L481" s="646" t="str">
        <f t="shared" si="70"/>
        <v/>
      </c>
    </row>
    <row r="482" spans="1:12" ht="12.75" customHeight="1">
      <c r="A482" s="645" t="str">
        <f>IF(B482&lt;&gt;"",MAX(A$28:A481)+1,IF(ISNA(HLOOKUP(DATE(YEAR($C$21),MONTH(C482),DAY(C482)),$C$21:$N$21,1,0)),"",MAX(A$28:A481)+1))</f>
        <v/>
      </c>
      <c r="B482" s="91" t="str">
        <f>IF(C482&lt;$K$16,"",IF(ISNA(HLOOKUP(DATE(YEAR($C$20),MONTH($C482),DAY($C482)),$C$20:$N$20,1,0)),"",MAX(B$28:B481)+1))</f>
        <v/>
      </c>
      <c r="C482" s="106">
        <f t="shared" si="76"/>
        <v>55823</v>
      </c>
      <c r="D482" s="795">
        <f t="shared" si="71"/>
        <v>0</v>
      </c>
      <c r="E482" s="795" t="str">
        <f>IF($A482="","",IF($A482=1,D$29*$F482*($C482-$C$28)/$K$17,
(D482*ROUND(($C482-VLOOKUP($A482-1,$A$28:$C482,3,0))/30,0)/12*$F482)
))</f>
        <v/>
      </c>
      <c r="F482" s="107">
        <f t="shared" si="72"/>
        <v>0.06</v>
      </c>
      <c r="G482" s="795">
        <f t="shared" si="68"/>
        <v>0</v>
      </c>
      <c r="H482" s="795">
        <f t="shared" si="73"/>
        <v>0</v>
      </c>
      <c r="I482" s="795">
        <f t="shared" si="74"/>
        <v>0</v>
      </c>
      <c r="J482" s="795">
        <f t="shared" si="75"/>
        <v>0</v>
      </c>
      <c r="K482" s="108">
        <f t="shared" si="69"/>
        <v>2052</v>
      </c>
      <c r="L482" s="646" t="str">
        <f t="shared" si="70"/>
        <v/>
      </c>
    </row>
    <row r="483" spans="1:12" ht="12.75" customHeight="1">
      <c r="A483" s="645" t="str">
        <f>IF(B483&lt;&gt;"",MAX(A$28:A482)+1,IF(ISNA(HLOOKUP(DATE(YEAR($C$21),MONTH(C483),DAY(C483)),$C$21:$N$21,1,0)),"",MAX(A$28:A482)+1))</f>
        <v/>
      </c>
      <c r="B483" s="91" t="str">
        <f>IF(C483&lt;$K$16,"",IF(ISNA(HLOOKUP(DATE(YEAR($C$20),MONTH($C483),DAY($C483)),$C$20:$N$20,1,0)),"",MAX(B$28:B482)+1))</f>
        <v/>
      </c>
      <c r="C483" s="106">
        <f t="shared" si="76"/>
        <v>55853</v>
      </c>
      <c r="D483" s="795">
        <f t="shared" si="71"/>
        <v>0</v>
      </c>
      <c r="E483" s="795" t="str">
        <f>IF($A483="","",IF($A483=1,D$29*$F483*($C483-$C$28)/$K$17,
(D483*ROUND(($C483-VLOOKUP($A483-1,$A$28:$C483,3,0))/30,0)/12*$F483)
))</f>
        <v/>
      </c>
      <c r="F483" s="107">
        <f t="shared" si="72"/>
        <v>0.06</v>
      </c>
      <c r="G483" s="795">
        <f t="shared" si="68"/>
        <v>0</v>
      </c>
      <c r="H483" s="795">
        <f t="shared" si="73"/>
        <v>0</v>
      </c>
      <c r="I483" s="795">
        <f t="shared" si="74"/>
        <v>0</v>
      </c>
      <c r="J483" s="795">
        <f t="shared" si="75"/>
        <v>0</v>
      </c>
      <c r="K483" s="108">
        <f t="shared" si="69"/>
        <v>2052</v>
      </c>
      <c r="L483" s="646" t="str">
        <f t="shared" si="70"/>
        <v/>
      </c>
    </row>
    <row r="484" spans="1:12" ht="12.75" customHeight="1">
      <c r="A484" s="645">
        <f>IF(B484&lt;&gt;"",MAX(A$28:A483)+1,IF(ISNA(HLOOKUP(DATE(YEAR($C$21),MONTH(C484),DAY(C484)),$C$21:$N$21,1,0)),"",MAX(A$28:A483)+1))</f>
        <v>152</v>
      </c>
      <c r="B484" s="91">
        <f>IF(C484&lt;$K$16,"",IF(ISNA(HLOOKUP(DATE(YEAR($C$20),MONTH($C484),DAY($C484)),$C$20:$N$20,1,0)),"",MAX(B$28:B483)+1))</f>
        <v>140</v>
      </c>
      <c r="C484" s="106">
        <f t="shared" si="76"/>
        <v>55884</v>
      </c>
      <c r="D484" s="795">
        <f t="shared" si="71"/>
        <v>0</v>
      </c>
      <c r="E484" s="795">
        <f>IF($A484="","",IF($A484=1,D$29*$F484*($C484-$C$28)/$K$17,
(D484*ROUND(($C484-VLOOKUP($A484-1,$A$28:$C484,3,0))/30,0)/12*$F484)
))</f>
        <v>0</v>
      </c>
      <c r="F484" s="107">
        <f t="shared" si="72"/>
        <v>0.06</v>
      </c>
      <c r="G484" s="795">
        <f t="shared" si="68"/>
        <v>0</v>
      </c>
      <c r="H484" s="795">
        <f t="shared" si="73"/>
        <v>0</v>
      </c>
      <c r="I484" s="795">
        <f t="shared" si="74"/>
        <v>0</v>
      </c>
      <c r="J484" s="795">
        <f t="shared" si="75"/>
        <v>0</v>
      </c>
      <c r="K484" s="108">
        <f t="shared" si="69"/>
        <v>2052</v>
      </c>
      <c r="L484" s="646" t="str">
        <f t="shared" si="70"/>
        <v/>
      </c>
    </row>
    <row r="485" spans="1:12" ht="12.75" customHeight="1">
      <c r="A485" s="645" t="str">
        <f>IF(B485&lt;&gt;"",MAX(A$28:A484)+1,IF(ISNA(HLOOKUP(DATE(YEAR($C$21),MONTH(C485),DAY(C485)),$C$21:$N$21,1,0)),"",MAX(A$28:A484)+1))</f>
        <v/>
      </c>
      <c r="B485" s="91" t="str">
        <f>IF(C485&lt;$K$16,"",IF(ISNA(HLOOKUP(DATE(YEAR($C$20),MONTH($C485),DAY($C485)),$C$20:$N$20,1,0)),"",MAX(B$28:B484)+1))</f>
        <v/>
      </c>
      <c r="C485" s="106">
        <f t="shared" si="76"/>
        <v>55915</v>
      </c>
      <c r="D485" s="795">
        <f t="shared" si="71"/>
        <v>0</v>
      </c>
      <c r="E485" s="795" t="str">
        <f>IF($A485="","",IF($A485=1,D$29*$F485*($C485-$C$28)/$K$17,
(D485*ROUND(($C485-VLOOKUP($A485-1,$A$28:$C485,3,0))/30,0)/12*$F485)
))</f>
        <v/>
      </c>
      <c r="F485" s="107">
        <f t="shared" si="72"/>
        <v>0.06</v>
      </c>
      <c r="G485" s="795">
        <f t="shared" si="68"/>
        <v>0</v>
      </c>
      <c r="H485" s="795">
        <f t="shared" si="73"/>
        <v>0</v>
      </c>
      <c r="I485" s="795">
        <f t="shared" si="74"/>
        <v>0</v>
      </c>
      <c r="J485" s="795">
        <f t="shared" si="75"/>
        <v>0</v>
      </c>
      <c r="K485" s="108">
        <f t="shared" si="69"/>
        <v>2053</v>
      </c>
      <c r="L485" s="646" t="str">
        <f t="shared" si="70"/>
        <v/>
      </c>
    </row>
    <row r="486" spans="1:12" ht="12.75" customHeight="1">
      <c r="A486" s="645" t="str">
        <f>IF(B486&lt;&gt;"",MAX(A$28:A485)+1,IF(ISNA(HLOOKUP(DATE(YEAR($C$21),MONTH(C486),DAY(C486)),$C$21:$N$21,1,0)),"",MAX(A$28:A485)+1))</f>
        <v/>
      </c>
      <c r="B486" s="91" t="str">
        <f>IF(C486&lt;$K$16,"",IF(ISNA(HLOOKUP(DATE(YEAR($C$20),MONTH($C486),DAY($C486)),$C$20:$N$20,1,0)),"",MAX(B$28:B485)+1))</f>
        <v/>
      </c>
      <c r="C486" s="106">
        <f t="shared" si="76"/>
        <v>55943</v>
      </c>
      <c r="D486" s="795">
        <f t="shared" si="71"/>
        <v>0</v>
      </c>
      <c r="E486" s="795" t="str">
        <f>IF($A486="","",IF($A486=1,D$29*$F486*($C486-$C$28)/$K$17,
(D486*ROUND(($C486-VLOOKUP($A486-1,$A$28:$C486,3,0))/30,0)/12*$F486)
))</f>
        <v/>
      </c>
      <c r="F486" s="107">
        <f t="shared" si="72"/>
        <v>0.06</v>
      </c>
      <c r="G486" s="795">
        <f t="shared" si="68"/>
        <v>0</v>
      </c>
      <c r="H486" s="795">
        <f t="shared" si="73"/>
        <v>0</v>
      </c>
      <c r="I486" s="795">
        <f t="shared" si="74"/>
        <v>0</v>
      </c>
      <c r="J486" s="795">
        <f t="shared" si="75"/>
        <v>0</v>
      </c>
      <c r="K486" s="108">
        <f t="shared" si="69"/>
        <v>2053</v>
      </c>
      <c r="L486" s="646" t="str">
        <f t="shared" si="70"/>
        <v/>
      </c>
    </row>
    <row r="487" spans="1:12" ht="12.75" customHeight="1">
      <c r="A487" s="645">
        <f>IF(B487&lt;&gt;"",MAX(A$28:A486)+1,IF(ISNA(HLOOKUP(DATE(YEAR($C$21),MONTH(C487),DAY(C487)),$C$21:$N$21,1,0)),"",MAX(A$28:A486)+1))</f>
        <v>153</v>
      </c>
      <c r="B487" s="91">
        <f>IF(C487&lt;$K$16,"",IF(ISNA(HLOOKUP(DATE(YEAR($C$20),MONTH($C487),DAY($C487)),$C$20:$N$20,1,0)),"",MAX(B$28:B486)+1))</f>
        <v>141</v>
      </c>
      <c r="C487" s="106">
        <f t="shared" si="76"/>
        <v>55974</v>
      </c>
      <c r="D487" s="795">
        <f t="shared" si="71"/>
        <v>0</v>
      </c>
      <c r="E487" s="795">
        <f>IF($A487="","",IF($A487=1,D$29*$F487*($C487-$C$28)/$K$17,
(D487*ROUND(($C487-VLOOKUP($A487-1,$A$28:$C487,3,0))/30,0)/12*$F487)
))</f>
        <v>0</v>
      </c>
      <c r="F487" s="107">
        <f t="shared" si="72"/>
        <v>0.06</v>
      </c>
      <c r="G487" s="795">
        <f t="shared" si="68"/>
        <v>0</v>
      </c>
      <c r="H487" s="795">
        <f t="shared" si="73"/>
        <v>0</v>
      </c>
      <c r="I487" s="795">
        <f t="shared" si="74"/>
        <v>0</v>
      </c>
      <c r="J487" s="795">
        <f t="shared" si="75"/>
        <v>0</v>
      </c>
      <c r="K487" s="108">
        <f t="shared" si="69"/>
        <v>2053</v>
      </c>
      <c r="L487" s="646" t="str">
        <f t="shared" si="70"/>
        <v/>
      </c>
    </row>
    <row r="488" spans="1:12" ht="12.75" customHeight="1">
      <c r="A488" s="645" t="str">
        <f>IF(B488&lt;&gt;"",MAX(A$28:A487)+1,IF(ISNA(HLOOKUP(DATE(YEAR($C$21),MONTH(C488),DAY(C488)),$C$21:$N$21,1,0)),"",MAX(A$28:A487)+1))</f>
        <v/>
      </c>
      <c r="B488" s="91" t="str">
        <f>IF(C488&lt;$K$16,"",IF(ISNA(HLOOKUP(DATE(YEAR($C$20),MONTH($C488),DAY($C488)),$C$20:$N$20,1,0)),"",MAX(B$28:B487)+1))</f>
        <v/>
      </c>
      <c r="C488" s="106">
        <f t="shared" si="76"/>
        <v>56004</v>
      </c>
      <c r="D488" s="795">
        <f t="shared" si="71"/>
        <v>0</v>
      </c>
      <c r="E488" s="795" t="str">
        <f>IF($A488="","",IF($A488=1,D$29*$F488*($C488-$C$28)/$K$17,
(D488*ROUND(($C488-VLOOKUP($A488-1,$A$28:$C488,3,0))/30,0)/12*$F488)
))</f>
        <v/>
      </c>
      <c r="F488" s="107">
        <f t="shared" si="72"/>
        <v>0.06</v>
      </c>
      <c r="G488" s="795">
        <f t="shared" si="68"/>
        <v>0</v>
      </c>
      <c r="H488" s="795">
        <f t="shared" si="73"/>
        <v>0</v>
      </c>
      <c r="I488" s="795">
        <f t="shared" si="74"/>
        <v>0</v>
      </c>
      <c r="J488" s="795">
        <f t="shared" si="75"/>
        <v>0</v>
      </c>
      <c r="K488" s="108">
        <f t="shared" si="69"/>
        <v>2053</v>
      </c>
      <c r="L488" s="646" t="str">
        <f t="shared" si="70"/>
        <v/>
      </c>
    </row>
    <row r="489" spans="1:12" ht="12.75" customHeight="1">
      <c r="A489" s="645" t="str">
        <f>IF(B489&lt;&gt;"",MAX(A$28:A488)+1,IF(ISNA(HLOOKUP(DATE(YEAR($C$21),MONTH(C489),DAY(C489)),$C$21:$N$21,1,0)),"",MAX(A$28:A488)+1))</f>
        <v/>
      </c>
      <c r="B489" s="91" t="str">
        <f>IF(C489&lt;$K$16,"",IF(ISNA(HLOOKUP(DATE(YEAR($C$20),MONTH($C489),DAY($C489)),$C$20:$N$20,1,0)),"",MAX(B$28:B488)+1))</f>
        <v/>
      </c>
      <c r="C489" s="106">
        <f t="shared" si="76"/>
        <v>56035</v>
      </c>
      <c r="D489" s="795">
        <f t="shared" si="71"/>
        <v>0</v>
      </c>
      <c r="E489" s="795" t="str">
        <f>IF($A489="","",IF($A489=1,D$29*$F489*($C489-$C$28)/$K$17,
(D489*ROUND(($C489-VLOOKUP($A489-1,$A$28:$C489,3,0))/30,0)/12*$F489)
))</f>
        <v/>
      </c>
      <c r="F489" s="107">
        <f t="shared" si="72"/>
        <v>0.06</v>
      </c>
      <c r="G489" s="795">
        <f t="shared" si="68"/>
        <v>0</v>
      </c>
      <c r="H489" s="795">
        <f t="shared" si="73"/>
        <v>0</v>
      </c>
      <c r="I489" s="795">
        <f t="shared" si="74"/>
        <v>0</v>
      </c>
      <c r="J489" s="795">
        <f t="shared" si="75"/>
        <v>0</v>
      </c>
      <c r="K489" s="108">
        <f t="shared" si="69"/>
        <v>2053</v>
      </c>
      <c r="L489" s="646" t="str">
        <f t="shared" si="70"/>
        <v/>
      </c>
    </row>
    <row r="490" spans="1:12" ht="12.75" customHeight="1">
      <c r="A490" s="645">
        <f>IF(B490&lt;&gt;"",MAX(A$28:A489)+1,IF(ISNA(HLOOKUP(DATE(YEAR($C$21),MONTH(C490),DAY(C490)),$C$21:$N$21,1,0)),"",MAX(A$28:A489)+1))</f>
        <v>154</v>
      </c>
      <c r="B490" s="91">
        <f>IF(C490&lt;$K$16,"",IF(ISNA(HLOOKUP(DATE(YEAR($C$20),MONTH($C490),DAY($C490)),$C$20:$N$20,1,0)),"",MAX(B$28:B489)+1))</f>
        <v>142</v>
      </c>
      <c r="C490" s="106">
        <f t="shared" si="76"/>
        <v>56065</v>
      </c>
      <c r="D490" s="795">
        <f t="shared" si="71"/>
        <v>0</v>
      </c>
      <c r="E490" s="795">
        <f>IF($A490="","",IF($A490=1,D$29*$F490*($C490-$C$28)/$K$17,
(D490*ROUND(($C490-VLOOKUP($A490-1,$A$28:$C490,3,0))/30,0)/12*$F490)
))</f>
        <v>0</v>
      </c>
      <c r="F490" s="107">
        <f t="shared" si="72"/>
        <v>0.06</v>
      </c>
      <c r="G490" s="795">
        <f t="shared" si="68"/>
        <v>0</v>
      </c>
      <c r="H490" s="795">
        <f t="shared" si="73"/>
        <v>0</v>
      </c>
      <c r="I490" s="795">
        <f t="shared" si="74"/>
        <v>0</v>
      </c>
      <c r="J490" s="795">
        <f t="shared" si="75"/>
        <v>0</v>
      </c>
      <c r="K490" s="108">
        <f t="shared" si="69"/>
        <v>2053</v>
      </c>
      <c r="L490" s="646" t="str">
        <f t="shared" si="70"/>
        <v/>
      </c>
    </row>
    <row r="491" spans="1:12" ht="12.75" customHeight="1">
      <c r="A491" s="645" t="str">
        <f>IF(B491&lt;&gt;"",MAX(A$28:A490)+1,IF(ISNA(HLOOKUP(DATE(YEAR($C$21),MONTH(C491),DAY(C491)),$C$21:$N$21,1,0)),"",MAX(A$28:A490)+1))</f>
        <v/>
      </c>
      <c r="B491" s="91" t="str">
        <f>IF(C491&lt;$K$16,"",IF(ISNA(HLOOKUP(DATE(YEAR($C$20),MONTH($C491),DAY($C491)),$C$20:$N$20,1,0)),"",MAX(B$28:B490)+1))</f>
        <v/>
      </c>
      <c r="C491" s="106">
        <f t="shared" si="76"/>
        <v>56096</v>
      </c>
      <c r="D491" s="795">
        <f t="shared" si="71"/>
        <v>0</v>
      </c>
      <c r="E491" s="795" t="str">
        <f>IF($A491="","",IF($A491=1,D$29*$F491*($C491-$C$28)/$K$17,
(D491*ROUND(($C491-VLOOKUP($A491-1,$A$28:$C491,3,0))/30,0)/12*$F491)
))</f>
        <v/>
      </c>
      <c r="F491" s="107">
        <f t="shared" si="72"/>
        <v>0.06</v>
      </c>
      <c r="G491" s="795">
        <f t="shared" si="68"/>
        <v>0</v>
      </c>
      <c r="H491" s="795">
        <f t="shared" si="73"/>
        <v>0</v>
      </c>
      <c r="I491" s="795">
        <f t="shared" si="74"/>
        <v>0</v>
      </c>
      <c r="J491" s="795">
        <f t="shared" si="75"/>
        <v>0</v>
      </c>
      <c r="K491" s="108">
        <f t="shared" si="69"/>
        <v>2053</v>
      </c>
      <c r="L491" s="646" t="str">
        <f t="shared" si="70"/>
        <v/>
      </c>
    </row>
    <row r="492" spans="1:12" ht="12.75" customHeight="1">
      <c r="A492" s="645" t="str">
        <f>IF(B492&lt;&gt;"",MAX(A$28:A491)+1,IF(ISNA(HLOOKUP(DATE(YEAR($C$21),MONTH(C492),DAY(C492)),$C$21:$N$21,1,0)),"",MAX(A$28:A491)+1))</f>
        <v/>
      </c>
      <c r="B492" s="91" t="str">
        <f>IF(C492&lt;$K$16,"",IF(ISNA(HLOOKUP(DATE(YEAR($C$20),MONTH($C492),DAY($C492)),$C$20:$N$20,1,0)),"",MAX(B$28:B491)+1))</f>
        <v/>
      </c>
      <c r="C492" s="106">
        <f t="shared" si="76"/>
        <v>56127</v>
      </c>
      <c r="D492" s="795">
        <f t="shared" si="71"/>
        <v>0</v>
      </c>
      <c r="E492" s="795" t="str">
        <f>IF($A492="","",IF($A492=1,D$29*$F492*($C492-$C$28)/$K$17,
(D492*ROUND(($C492-VLOOKUP($A492-1,$A$28:$C492,3,0))/30,0)/12*$F492)
))</f>
        <v/>
      </c>
      <c r="F492" s="107">
        <f t="shared" si="72"/>
        <v>0.06</v>
      </c>
      <c r="G492" s="795">
        <f t="shared" si="68"/>
        <v>0</v>
      </c>
      <c r="H492" s="795">
        <f t="shared" si="73"/>
        <v>0</v>
      </c>
      <c r="I492" s="795">
        <f t="shared" si="74"/>
        <v>0</v>
      </c>
      <c r="J492" s="795">
        <f t="shared" si="75"/>
        <v>0</v>
      </c>
      <c r="K492" s="108">
        <f t="shared" si="69"/>
        <v>2053</v>
      </c>
      <c r="L492" s="646" t="str">
        <f t="shared" si="70"/>
        <v/>
      </c>
    </row>
    <row r="493" spans="1:12" ht="12.75" customHeight="1">
      <c r="A493" s="645">
        <f>IF(B493&lt;&gt;"",MAX(A$28:A492)+1,IF(ISNA(HLOOKUP(DATE(YEAR($C$21),MONTH(C493),DAY(C493)),$C$21:$N$21,1,0)),"",MAX(A$28:A492)+1))</f>
        <v>155</v>
      </c>
      <c r="B493" s="91">
        <f>IF(C493&lt;$K$16,"",IF(ISNA(HLOOKUP(DATE(YEAR($C$20),MONTH($C493),DAY($C493)),$C$20:$N$20,1,0)),"",MAX(B$28:B492)+1))</f>
        <v>143</v>
      </c>
      <c r="C493" s="106">
        <f t="shared" si="76"/>
        <v>56157</v>
      </c>
      <c r="D493" s="795">
        <f t="shared" si="71"/>
        <v>0</v>
      </c>
      <c r="E493" s="795">
        <f>IF($A493="","",IF($A493=1,D$29*$F493*($C493-$C$28)/$K$17,
(D493*ROUND(($C493-VLOOKUP($A493-1,$A$28:$C493,3,0))/30,0)/12*$F493)
))</f>
        <v>0</v>
      </c>
      <c r="F493" s="107">
        <f t="shared" si="72"/>
        <v>0.06</v>
      </c>
      <c r="G493" s="795">
        <f t="shared" si="68"/>
        <v>0</v>
      </c>
      <c r="H493" s="795">
        <f t="shared" si="73"/>
        <v>0</v>
      </c>
      <c r="I493" s="795">
        <f t="shared" si="74"/>
        <v>0</v>
      </c>
      <c r="J493" s="795">
        <f t="shared" si="75"/>
        <v>0</v>
      </c>
      <c r="K493" s="108">
        <f t="shared" si="69"/>
        <v>2053</v>
      </c>
      <c r="L493" s="646" t="str">
        <f t="shared" si="70"/>
        <v/>
      </c>
    </row>
    <row r="494" spans="1:12" ht="12.75" customHeight="1">
      <c r="A494" s="645" t="str">
        <f>IF(B494&lt;&gt;"",MAX(A$28:A493)+1,IF(ISNA(HLOOKUP(DATE(YEAR($C$21),MONTH(C494),DAY(C494)),$C$21:$N$21,1,0)),"",MAX(A$28:A493)+1))</f>
        <v/>
      </c>
      <c r="B494" s="91" t="str">
        <f>IF(C494&lt;$K$16,"",IF(ISNA(HLOOKUP(DATE(YEAR($C$20),MONTH($C494),DAY($C494)),$C$20:$N$20,1,0)),"",MAX(B$28:B493)+1))</f>
        <v/>
      </c>
      <c r="C494" s="106">
        <f t="shared" si="76"/>
        <v>56188</v>
      </c>
      <c r="D494" s="795">
        <f t="shared" si="71"/>
        <v>0</v>
      </c>
      <c r="E494" s="795" t="str">
        <f>IF($A494="","",IF($A494=1,D$29*$F494*($C494-$C$28)/$K$17,
(D494*ROUND(($C494-VLOOKUP($A494-1,$A$28:$C494,3,0))/30,0)/12*$F494)
))</f>
        <v/>
      </c>
      <c r="F494" s="107">
        <f t="shared" si="72"/>
        <v>0.06</v>
      </c>
      <c r="G494" s="795">
        <f t="shared" si="68"/>
        <v>0</v>
      </c>
      <c r="H494" s="795">
        <f t="shared" si="73"/>
        <v>0</v>
      </c>
      <c r="I494" s="795">
        <f t="shared" si="74"/>
        <v>0</v>
      </c>
      <c r="J494" s="795">
        <f t="shared" si="75"/>
        <v>0</v>
      </c>
      <c r="K494" s="108">
        <f t="shared" si="69"/>
        <v>2053</v>
      </c>
      <c r="L494" s="646" t="str">
        <f t="shared" si="70"/>
        <v/>
      </c>
    </row>
    <row r="495" spans="1:12" ht="12.75" customHeight="1">
      <c r="A495" s="645" t="str">
        <f>IF(B495&lt;&gt;"",MAX(A$28:A494)+1,IF(ISNA(HLOOKUP(DATE(YEAR($C$21),MONTH(C495),DAY(C495)),$C$21:$N$21,1,0)),"",MAX(A$28:A494)+1))</f>
        <v/>
      </c>
      <c r="B495" s="91" t="str">
        <f>IF(C495&lt;$K$16,"",IF(ISNA(HLOOKUP(DATE(YEAR($C$20),MONTH($C495),DAY($C495)),$C$20:$N$20,1,0)),"",MAX(B$28:B494)+1))</f>
        <v/>
      </c>
      <c r="C495" s="106">
        <f t="shared" si="76"/>
        <v>56218</v>
      </c>
      <c r="D495" s="795">
        <f t="shared" si="71"/>
        <v>0</v>
      </c>
      <c r="E495" s="795" t="str">
        <f>IF($A495="","",IF($A495=1,D$29*$F495*($C495-$C$28)/$K$17,
(D495*ROUND(($C495-VLOOKUP($A495-1,$A$28:$C495,3,0))/30,0)/12*$F495)
))</f>
        <v/>
      </c>
      <c r="F495" s="107">
        <f t="shared" si="72"/>
        <v>0.06</v>
      </c>
      <c r="G495" s="795">
        <f t="shared" si="68"/>
        <v>0</v>
      </c>
      <c r="H495" s="795">
        <f t="shared" si="73"/>
        <v>0</v>
      </c>
      <c r="I495" s="795">
        <f t="shared" si="74"/>
        <v>0</v>
      </c>
      <c r="J495" s="795">
        <f t="shared" si="75"/>
        <v>0</v>
      </c>
      <c r="K495" s="108">
        <f t="shared" si="69"/>
        <v>2053</v>
      </c>
      <c r="L495" s="646" t="str">
        <f t="shared" si="70"/>
        <v/>
      </c>
    </row>
    <row r="496" spans="1:12" ht="12.75" customHeight="1">
      <c r="A496" s="645">
        <f>IF(B496&lt;&gt;"",MAX(A$28:A495)+1,IF(ISNA(HLOOKUP(DATE(YEAR($C$21),MONTH(C496),DAY(C496)),$C$21:$N$21,1,0)),"",MAX(A$28:A495)+1))</f>
        <v>156</v>
      </c>
      <c r="B496" s="91">
        <f>IF(C496&lt;$K$16,"",IF(ISNA(HLOOKUP(DATE(YEAR($C$20),MONTH($C496),DAY($C496)),$C$20:$N$20,1,0)),"",MAX(B$28:B495)+1))</f>
        <v>144</v>
      </c>
      <c r="C496" s="106">
        <f t="shared" si="76"/>
        <v>56249</v>
      </c>
      <c r="D496" s="795">
        <f t="shared" si="71"/>
        <v>0</v>
      </c>
      <c r="E496" s="795">
        <f>IF($A496="","",IF($A496=1,D$29*$F496*($C496-$C$28)/$K$17,
(D496*ROUND(($C496-VLOOKUP($A496-1,$A$28:$C496,3,0))/30,0)/12*$F496)
))</f>
        <v>0</v>
      </c>
      <c r="F496" s="107">
        <f t="shared" si="72"/>
        <v>0.06</v>
      </c>
      <c r="G496" s="795">
        <f t="shared" si="68"/>
        <v>0</v>
      </c>
      <c r="H496" s="795">
        <f t="shared" si="73"/>
        <v>0</v>
      </c>
      <c r="I496" s="795">
        <f t="shared" si="74"/>
        <v>0</v>
      </c>
      <c r="J496" s="795">
        <f t="shared" si="75"/>
        <v>0</v>
      </c>
      <c r="K496" s="108">
        <f t="shared" si="69"/>
        <v>2053</v>
      </c>
      <c r="L496" s="646" t="str">
        <f t="shared" si="70"/>
        <v/>
      </c>
    </row>
    <row r="497" spans="1:12" ht="12.75" customHeight="1">
      <c r="A497" s="645" t="str">
        <f>IF(B497&lt;&gt;"",MAX(A$28:A496)+1,IF(ISNA(HLOOKUP(DATE(YEAR($C$21),MONTH(C497),DAY(C497)),$C$21:$N$21,1,0)),"",MAX(A$28:A496)+1))</f>
        <v/>
      </c>
      <c r="B497" s="91" t="str">
        <f>IF(C497&lt;$K$16,"",IF(ISNA(HLOOKUP(DATE(YEAR($C$20),MONTH($C497),DAY($C497)),$C$20:$N$20,1,0)),"",MAX(B$28:B496)+1))</f>
        <v/>
      </c>
      <c r="C497" s="106">
        <f t="shared" si="76"/>
        <v>56280</v>
      </c>
      <c r="D497" s="795">
        <f t="shared" si="71"/>
        <v>0</v>
      </c>
      <c r="E497" s="795" t="str">
        <f>IF($A497="","",IF($A497=1,D$29*$F497*($C497-$C$28)/$K$17,
(D497*ROUND(($C497-VLOOKUP($A497-1,$A$28:$C497,3,0))/30,0)/12*$F497)
))</f>
        <v/>
      </c>
      <c r="F497" s="107">
        <f t="shared" si="72"/>
        <v>0.06</v>
      </c>
      <c r="G497" s="795">
        <f t="shared" si="68"/>
        <v>0</v>
      </c>
      <c r="H497" s="795">
        <f t="shared" si="73"/>
        <v>0</v>
      </c>
      <c r="I497" s="795">
        <f t="shared" si="74"/>
        <v>0</v>
      </c>
      <c r="J497" s="795">
        <f t="shared" si="75"/>
        <v>0</v>
      </c>
      <c r="K497" s="108">
        <f t="shared" si="69"/>
        <v>2054</v>
      </c>
      <c r="L497" s="646" t="str">
        <f t="shared" si="70"/>
        <v/>
      </c>
    </row>
    <row r="498" spans="1:12" ht="12.75" customHeight="1">
      <c r="A498" s="645" t="str">
        <f>IF(B498&lt;&gt;"",MAX(A$28:A497)+1,IF(ISNA(HLOOKUP(DATE(YEAR($C$21),MONTH(C498),DAY(C498)),$C$21:$N$21,1,0)),"",MAX(A$28:A497)+1))</f>
        <v/>
      </c>
      <c r="B498" s="91" t="str">
        <f>IF(C498&lt;$K$16,"",IF(ISNA(HLOOKUP(DATE(YEAR($C$20),MONTH($C498),DAY($C498)),$C$20:$N$20,1,0)),"",MAX(B$28:B497)+1))</f>
        <v/>
      </c>
      <c r="C498" s="106">
        <f t="shared" si="76"/>
        <v>56308</v>
      </c>
      <c r="D498" s="795">
        <f t="shared" si="71"/>
        <v>0</v>
      </c>
      <c r="E498" s="795" t="str">
        <f>IF($A498="","",IF($A498=1,D$29*$F498*($C498-$C$28)/$K$17,
(D498*ROUND(($C498-VLOOKUP($A498-1,$A$28:$C498,3,0))/30,0)/12*$F498)
))</f>
        <v/>
      </c>
      <c r="F498" s="107">
        <f t="shared" si="72"/>
        <v>0.06</v>
      </c>
      <c r="G498" s="795">
        <f t="shared" si="68"/>
        <v>0</v>
      </c>
      <c r="H498" s="795">
        <f t="shared" si="73"/>
        <v>0</v>
      </c>
      <c r="I498" s="795">
        <f t="shared" si="74"/>
        <v>0</v>
      </c>
      <c r="J498" s="795">
        <f t="shared" si="75"/>
        <v>0</v>
      </c>
      <c r="K498" s="108">
        <f t="shared" si="69"/>
        <v>2054</v>
      </c>
      <c r="L498" s="646" t="str">
        <f t="shared" si="70"/>
        <v/>
      </c>
    </row>
    <row r="499" spans="1:12" ht="12.75" customHeight="1">
      <c r="A499" s="645">
        <f>IF(B499&lt;&gt;"",MAX(A$28:A498)+1,IF(ISNA(HLOOKUP(DATE(YEAR($C$21),MONTH(C499),DAY(C499)),$C$21:$N$21,1,0)),"",MAX(A$28:A498)+1))</f>
        <v>157</v>
      </c>
      <c r="B499" s="91">
        <f>IF(C499&lt;$K$16,"",IF(ISNA(HLOOKUP(DATE(YEAR($C$20),MONTH($C499),DAY($C499)),$C$20:$N$20,1,0)),"",MAX(B$28:B498)+1))</f>
        <v>145</v>
      </c>
      <c r="C499" s="106">
        <f t="shared" si="76"/>
        <v>56339</v>
      </c>
      <c r="D499" s="795">
        <f t="shared" si="71"/>
        <v>0</v>
      </c>
      <c r="E499" s="795">
        <f>IF($A499="","",IF($A499=1,D$29*$F499*($C499-$C$28)/$K$17,
(D499*ROUND(($C499-VLOOKUP($A499-1,$A$28:$C499,3,0))/30,0)/12*$F499)
))</f>
        <v>0</v>
      </c>
      <c r="F499" s="107">
        <f t="shared" si="72"/>
        <v>0.06</v>
      </c>
      <c r="G499" s="795">
        <f t="shared" si="68"/>
        <v>0</v>
      </c>
      <c r="H499" s="795">
        <f t="shared" si="73"/>
        <v>0</v>
      </c>
      <c r="I499" s="795">
        <f t="shared" si="74"/>
        <v>0</v>
      </c>
      <c r="J499" s="795">
        <f t="shared" si="75"/>
        <v>0</v>
      </c>
      <c r="K499" s="108">
        <f t="shared" si="69"/>
        <v>2054</v>
      </c>
      <c r="L499" s="646" t="str">
        <f t="shared" si="70"/>
        <v/>
      </c>
    </row>
    <row r="500" spans="1:12" ht="12.75" customHeight="1" thickBot="1">
      <c r="A500" s="647" t="str">
        <f>IF(B500&lt;&gt;"",MAX(A$28:A499)+1,IF(ISNA(HLOOKUP(DATE(YEAR($C$21),MONTH(C500),DAY(C500)),$C$21:$N$21,1,0)),"",MAX(A$28:A499)+1))</f>
        <v/>
      </c>
      <c r="B500" s="648" t="str">
        <f>IF(C500&lt;$K$16,"",IF(ISNA(HLOOKUP(DATE(YEAR($C$20),MONTH($C500),DAY($C500)),$C$20:$N$20,1,0)),"",MAX(B$28:B499)+1))</f>
        <v/>
      </c>
      <c r="C500" s="649">
        <f t="shared" si="76"/>
        <v>56369</v>
      </c>
      <c r="D500" s="795">
        <f t="shared" si="71"/>
        <v>0</v>
      </c>
      <c r="E500" s="795" t="str">
        <f>IF($A500="","",IF($A500=1,D$29*$F500*($C500-$C$28)/$K$17,
(D500*ROUND(($C500-VLOOKUP($A500-1,$A$28:$C500,3,0))/30,0)/12*$F500)
))</f>
        <v/>
      </c>
      <c r="F500" s="650">
        <f t="shared" si="72"/>
        <v>0.06</v>
      </c>
      <c r="G500" s="796">
        <f t="shared" si="68"/>
        <v>0</v>
      </c>
      <c r="H500" s="796">
        <f t="shared" si="73"/>
        <v>0</v>
      </c>
      <c r="I500" s="796">
        <f t="shared" si="74"/>
        <v>0</v>
      </c>
      <c r="J500" s="796">
        <f t="shared" si="75"/>
        <v>0</v>
      </c>
      <c r="K500" s="651">
        <f t="shared" si="69"/>
        <v>2054</v>
      </c>
      <c r="L500" s="652" t="str">
        <f t="shared" si="70"/>
        <v/>
      </c>
    </row>
    <row r="501" spans="1:12">
      <c r="C501" s="103"/>
      <c r="D501" s="795"/>
      <c r="E501" s="795">
        <f>SUM(E28:E500)</f>
        <v>37454.832923673377</v>
      </c>
      <c r="F501" s="105"/>
      <c r="G501" s="797"/>
      <c r="H501" s="797"/>
      <c r="I501" s="797"/>
      <c r="J501" s="797"/>
      <c r="K501" s="105"/>
    </row>
    <row r="502" spans="1:12" hidden="1">
      <c r="C502" s="103"/>
      <c r="D502" s="795"/>
      <c r="E502" s="795"/>
      <c r="F502" s="105"/>
      <c r="G502" s="105"/>
      <c r="H502" s="105"/>
      <c r="I502" s="105"/>
      <c r="J502" s="105"/>
      <c r="K502" s="105"/>
    </row>
    <row r="503" spans="1:12" hidden="1">
      <c r="C503" s="103"/>
      <c r="D503" s="795"/>
      <c r="E503" s="795"/>
      <c r="F503" s="105"/>
      <c r="G503" s="105"/>
      <c r="H503" s="105"/>
      <c r="I503" s="105"/>
      <c r="J503" s="105"/>
      <c r="K503" s="105"/>
    </row>
    <row r="504" spans="1:12" hidden="1">
      <c r="C504" s="103"/>
      <c r="D504" s="795"/>
      <c r="E504" s="795"/>
      <c r="F504" s="105"/>
      <c r="G504" s="105"/>
      <c r="H504" s="105"/>
      <c r="I504" s="105"/>
      <c r="J504" s="105"/>
      <c r="K504" s="105"/>
    </row>
    <row r="505" spans="1:12" hidden="1">
      <c r="C505" s="103"/>
      <c r="D505" s="795"/>
      <c r="E505" s="795"/>
      <c r="F505" s="105"/>
      <c r="G505" s="105"/>
      <c r="H505" s="105"/>
      <c r="I505" s="105"/>
      <c r="J505" s="105"/>
      <c r="K505" s="105"/>
    </row>
    <row r="506" spans="1:12" hidden="1">
      <c r="C506" s="103"/>
      <c r="D506" s="795"/>
      <c r="E506" s="795"/>
      <c r="F506" s="105"/>
      <c r="G506" s="105"/>
      <c r="H506" s="105"/>
      <c r="I506" s="105"/>
      <c r="J506" s="105"/>
      <c r="K506" s="105"/>
    </row>
    <row r="507" spans="1:12" hidden="1">
      <c r="C507" s="103"/>
      <c r="D507" s="795"/>
      <c r="E507" s="795"/>
      <c r="F507" s="105"/>
      <c r="G507" s="105"/>
      <c r="H507" s="105"/>
      <c r="I507" s="105"/>
      <c r="J507" s="105"/>
      <c r="K507" s="105"/>
    </row>
    <row r="508" spans="1:12" hidden="1">
      <c r="C508" s="103"/>
      <c r="D508" s="795"/>
      <c r="E508" s="795"/>
      <c r="F508" s="105"/>
      <c r="G508" s="105"/>
      <c r="H508" s="105"/>
      <c r="I508" s="105"/>
      <c r="J508" s="105"/>
      <c r="K508" s="105"/>
    </row>
    <row r="509" spans="1:12" hidden="1">
      <c r="C509" s="103"/>
      <c r="D509" s="795"/>
      <c r="E509" s="795"/>
      <c r="F509" s="105"/>
      <c r="G509" s="105"/>
      <c r="H509" s="105"/>
      <c r="I509" s="105"/>
      <c r="J509" s="105"/>
      <c r="K509" s="105"/>
    </row>
    <row r="510" spans="1:12" hidden="1">
      <c r="C510" s="103"/>
      <c r="D510" s="795"/>
      <c r="E510" s="795"/>
      <c r="F510" s="105"/>
      <c r="G510" s="105"/>
      <c r="H510" s="105"/>
      <c r="I510" s="105"/>
      <c r="J510" s="105"/>
      <c r="K510" s="105"/>
    </row>
    <row r="511" spans="1:12" hidden="1">
      <c r="C511" s="103"/>
      <c r="D511" s="795"/>
      <c r="E511" s="795"/>
      <c r="F511" s="105"/>
      <c r="G511" s="105"/>
      <c r="H511" s="105"/>
      <c r="I511" s="105"/>
      <c r="J511" s="105"/>
      <c r="K511" s="105"/>
    </row>
    <row r="512" spans="1:12" hidden="1">
      <c r="C512" s="103"/>
      <c r="D512" s="795"/>
      <c r="E512" s="795"/>
      <c r="F512" s="105"/>
      <c r="G512" s="105"/>
      <c r="H512" s="105"/>
      <c r="I512" s="105"/>
      <c r="J512" s="105"/>
      <c r="K512" s="105"/>
    </row>
    <row r="513" spans="3:11" hidden="1">
      <c r="C513" s="103"/>
      <c r="D513" s="795"/>
      <c r="E513" s="795"/>
      <c r="F513" s="105"/>
      <c r="G513" s="105"/>
      <c r="H513" s="105"/>
      <c r="I513" s="105"/>
      <c r="J513" s="105"/>
      <c r="K513" s="105"/>
    </row>
    <row r="514" spans="3:11" hidden="1">
      <c r="C514" s="103"/>
      <c r="D514" s="795"/>
      <c r="E514" s="795"/>
      <c r="F514" s="105"/>
      <c r="G514" s="105"/>
      <c r="H514" s="105"/>
      <c r="I514" s="105"/>
      <c r="J514" s="105"/>
      <c r="K514" s="105"/>
    </row>
    <row r="515" spans="3:11" hidden="1">
      <c r="C515" s="103"/>
      <c r="D515" s="795"/>
      <c r="E515" s="795"/>
      <c r="F515" s="105"/>
      <c r="G515" s="105"/>
      <c r="H515" s="105"/>
      <c r="I515" s="105"/>
      <c r="J515" s="105"/>
      <c r="K515" s="105"/>
    </row>
    <row r="516" spans="3:11" hidden="1">
      <c r="C516" s="103"/>
      <c r="D516" s="795"/>
      <c r="E516" s="795"/>
      <c r="F516" s="105"/>
      <c r="G516" s="105"/>
      <c r="H516" s="105"/>
      <c r="I516" s="105"/>
      <c r="J516" s="105"/>
      <c r="K516" s="105"/>
    </row>
    <row r="517" spans="3:11" hidden="1">
      <c r="C517" s="103"/>
      <c r="D517" s="795"/>
      <c r="E517" s="795"/>
      <c r="F517" s="105"/>
      <c r="G517" s="105"/>
      <c r="H517" s="105"/>
      <c r="I517" s="105"/>
      <c r="J517" s="105"/>
      <c r="K517" s="105"/>
    </row>
    <row r="518" spans="3:11" hidden="1">
      <c r="D518" s="795"/>
      <c r="E518" s="795"/>
    </row>
    <row r="519" spans="3:11" hidden="1">
      <c r="D519" s="795"/>
      <c r="E519" s="795"/>
    </row>
    <row r="520" spans="3:11" hidden="1">
      <c r="D520" s="795"/>
      <c r="E520" s="795"/>
    </row>
    <row r="521" spans="3:11" hidden="1">
      <c r="D521" s="795"/>
      <c r="E521" s="795"/>
    </row>
    <row r="522" spans="3:11" hidden="1">
      <c r="D522" s="795"/>
      <c r="E522" s="795"/>
    </row>
    <row r="523" spans="3:11" hidden="1">
      <c r="D523" s="795"/>
      <c r="E523" s="795"/>
    </row>
    <row r="524" spans="3:11" hidden="1">
      <c r="D524" s="795"/>
      <c r="E524" s="795"/>
    </row>
    <row r="525" spans="3:11" hidden="1">
      <c r="D525" s="795"/>
      <c r="E525" s="795"/>
    </row>
    <row r="526" spans="3:11" hidden="1">
      <c r="D526" s="795"/>
      <c r="E526" s="795"/>
    </row>
    <row r="527" spans="3:11" hidden="1">
      <c r="D527" s="795"/>
      <c r="E527" s="795"/>
    </row>
    <row r="528" spans="3:11" hidden="1">
      <c r="D528" s="795"/>
      <c r="E528" s="795"/>
    </row>
    <row r="529" spans="4:5" hidden="1">
      <c r="D529" s="795"/>
      <c r="E529" s="795"/>
    </row>
    <row r="530" spans="4:5" hidden="1">
      <c r="D530" s="795"/>
      <c r="E530" s="795"/>
    </row>
    <row r="531" spans="4:5" hidden="1">
      <c r="D531" s="795"/>
      <c r="E531" s="795"/>
    </row>
    <row r="532" spans="4:5" hidden="1">
      <c r="D532" s="795"/>
      <c r="E532" s="795"/>
    </row>
    <row r="533" spans="4:5" hidden="1">
      <c r="D533" s="795"/>
      <c r="E533" s="795"/>
    </row>
    <row r="534" spans="4:5" hidden="1">
      <c r="D534" s="795"/>
      <c r="E534" s="795"/>
    </row>
    <row r="535" spans="4:5" hidden="1">
      <c r="D535" s="795"/>
      <c r="E535" s="795"/>
    </row>
    <row r="536" spans="4:5" hidden="1">
      <c r="D536" s="795"/>
      <c r="E536" s="795"/>
    </row>
    <row r="537" spans="4:5" hidden="1">
      <c r="D537" s="795"/>
      <c r="E537" s="795"/>
    </row>
    <row r="538" spans="4:5" hidden="1">
      <c r="D538" s="795"/>
      <c r="E538" s="795"/>
    </row>
    <row r="539" spans="4:5" hidden="1">
      <c r="D539" s="795"/>
      <c r="E539" s="795"/>
    </row>
    <row r="540" spans="4:5" hidden="1">
      <c r="D540" s="795"/>
      <c r="E540" s="795"/>
    </row>
    <row r="541" spans="4:5" hidden="1">
      <c r="D541" s="795"/>
      <c r="E541" s="795"/>
    </row>
    <row r="542" spans="4:5" hidden="1">
      <c r="D542" s="795"/>
      <c r="E542" s="795"/>
    </row>
    <row r="543" spans="4:5" hidden="1">
      <c r="D543" s="795"/>
      <c r="E543" s="795"/>
    </row>
    <row r="544" spans="4:5" hidden="1">
      <c r="D544" s="795"/>
      <c r="E544" s="795"/>
    </row>
    <row r="545" spans="4:5" hidden="1">
      <c r="D545" s="795"/>
      <c r="E545" s="795"/>
    </row>
    <row r="546" spans="4:5" hidden="1">
      <c r="D546" s="795"/>
      <c r="E546" s="795"/>
    </row>
    <row r="547" spans="4:5" hidden="1">
      <c r="D547" s="795"/>
      <c r="E547" s="795"/>
    </row>
    <row r="548" spans="4:5" hidden="1">
      <c r="D548" s="795"/>
      <c r="E548" s="795"/>
    </row>
    <row r="549" spans="4:5" hidden="1">
      <c r="D549" s="795"/>
      <c r="E549" s="795"/>
    </row>
    <row r="550" spans="4:5" hidden="1">
      <c r="D550" s="795"/>
      <c r="E550" s="795"/>
    </row>
    <row r="551" spans="4:5" hidden="1">
      <c r="D551" s="795"/>
      <c r="E551" s="795"/>
    </row>
    <row r="552" spans="4:5" hidden="1">
      <c r="D552" s="795"/>
      <c r="E552" s="795"/>
    </row>
    <row r="553" spans="4:5" hidden="1">
      <c r="D553" s="795"/>
      <c r="E553" s="795"/>
    </row>
    <row r="554" spans="4:5" hidden="1">
      <c r="D554" s="795"/>
      <c r="E554" s="795"/>
    </row>
    <row r="555" spans="4:5" hidden="1">
      <c r="D555" s="795"/>
      <c r="E555" s="795"/>
    </row>
    <row r="556" spans="4:5" hidden="1">
      <c r="D556" s="795"/>
      <c r="E556" s="795"/>
    </row>
    <row r="557" spans="4:5" hidden="1">
      <c r="D557" s="795"/>
      <c r="E557" s="795"/>
    </row>
    <row r="558" spans="4:5" hidden="1">
      <c r="D558" s="795"/>
      <c r="E558" s="795"/>
    </row>
    <row r="559" spans="4:5" hidden="1">
      <c r="D559" s="795"/>
      <c r="E559" s="795"/>
    </row>
    <row r="560" spans="4:5" hidden="1">
      <c r="D560" s="795"/>
      <c r="E560" s="795"/>
    </row>
    <row r="561" spans="4:5" hidden="1">
      <c r="D561" s="795"/>
      <c r="E561" s="795"/>
    </row>
    <row r="562" spans="4:5" hidden="1">
      <c r="D562" s="795"/>
      <c r="E562" s="795"/>
    </row>
    <row r="563" spans="4:5" hidden="1">
      <c r="D563" s="795"/>
      <c r="E563" s="795"/>
    </row>
    <row r="564" spans="4:5" hidden="1">
      <c r="D564" s="795"/>
      <c r="E564" s="795"/>
    </row>
    <row r="565" spans="4:5" hidden="1">
      <c r="D565" s="795"/>
      <c r="E565" s="795"/>
    </row>
    <row r="566" spans="4:5" hidden="1">
      <c r="D566" s="795"/>
      <c r="E566" s="795"/>
    </row>
    <row r="567" spans="4:5" hidden="1">
      <c r="D567" s="795"/>
      <c r="E567" s="795"/>
    </row>
    <row r="568" spans="4:5" hidden="1">
      <c r="D568" s="795"/>
      <c r="E568" s="795"/>
    </row>
    <row r="569" spans="4:5" hidden="1">
      <c r="D569" s="795"/>
      <c r="E569" s="795"/>
    </row>
    <row r="570" spans="4:5" hidden="1">
      <c r="D570" s="795"/>
      <c r="E570" s="795"/>
    </row>
    <row r="571" spans="4:5" hidden="1">
      <c r="D571" s="795"/>
      <c r="E571" s="795"/>
    </row>
    <row r="572" spans="4:5" hidden="1">
      <c r="D572" s="795"/>
      <c r="E572" s="795"/>
    </row>
    <row r="573" spans="4:5" hidden="1">
      <c r="D573" s="795"/>
      <c r="E573" s="795"/>
    </row>
    <row r="574" spans="4:5" hidden="1">
      <c r="D574" s="795"/>
      <c r="E574" s="795"/>
    </row>
    <row r="575" spans="4:5" hidden="1">
      <c r="D575" s="795"/>
      <c r="E575" s="795"/>
    </row>
    <row r="576" spans="4:5" hidden="1">
      <c r="D576" s="795"/>
      <c r="E576" s="795"/>
    </row>
    <row r="577" spans="4:5" hidden="1">
      <c r="D577" s="795"/>
      <c r="E577" s="795"/>
    </row>
    <row r="578" spans="4:5" hidden="1">
      <c r="D578" s="795"/>
      <c r="E578" s="795"/>
    </row>
    <row r="579" spans="4:5" hidden="1">
      <c r="D579" s="795"/>
      <c r="E579" s="795"/>
    </row>
    <row r="580" spans="4:5" hidden="1">
      <c r="D580" s="795"/>
      <c r="E580" s="795"/>
    </row>
    <row r="581" spans="4:5" hidden="1">
      <c r="D581" s="795"/>
      <c r="E581" s="795"/>
    </row>
    <row r="582" spans="4:5" hidden="1">
      <c r="D582" s="795"/>
      <c r="E582" s="795"/>
    </row>
    <row r="583" spans="4:5" hidden="1">
      <c r="D583" s="795"/>
      <c r="E583" s="795"/>
    </row>
    <row r="584" spans="4:5" hidden="1">
      <c r="D584" s="795"/>
      <c r="E584" s="795"/>
    </row>
    <row r="585" spans="4:5" hidden="1">
      <c r="D585" s="795"/>
      <c r="E585" s="795"/>
    </row>
    <row r="586" spans="4:5" hidden="1">
      <c r="D586" s="795"/>
      <c r="E586" s="795"/>
    </row>
    <row r="587" spans="4:5" hidden="1">
      <c r="D587" s="795"/>
      <c r="E587" s="795"/>
    </row>
    <row r="588" spans="4:5" hidden="1">
      <c r="D588" s="795"/>
      <c r="E588" s="795"/>
    </row>
    <row r="589" spans="4:5" hidden="1">
      <c r="D589" s="795"/>
      <c r="E589" s="795"/>
    </row>
    <row r="590" spans="4:5" hidden="1">
      <c r="D590" s="795"/>
      <c r="E590" s="795"/>
    </row>
    <row r="591" spans="4:5" hidden="1">
      <c r="D591" s="795"/>
      <c r="E591" s="795"/>
    </row>
    <row r="592" spans="4:5" hidden="1">
      <c r="D592" s="795"/>
      <c r="E592" s="795"/>
    </row>
    <row r="593" spans="4:5" hidden="1">
      <c r="D593" s="795"/>
      <c r="E593" s="795"/>
    </row>
    <row r="594" spans="4:5" hidden="1">
      <c r="D594" s="795"/>
      <c r="E594" s="795"/>
    </row>
    <row r="595" spans="4:5" hidden="1">
      <c r="D595" s="795"/>
      <c r="E595" s="795"/>
    </row>
    <row r="596" spans="4:5" hidden="1">
      <c r="D596" s="795"/>
      <c r="E596" s="795"/>
    </row>
    <row r="597" spans="4:5" hidden="1">
      <c r="D597" s="795"/>
      <c r="E597" s="795"/>
    </row>
    <row r="598" spans="4:5" hidden="1">
      <c r="D598" s="795"/>
      <c r="E598" s="795"/>
    </row>
    <row r="599" spans="4:5" hidden="1">
      <c r="D599" s="795"/>
      <c r="E599" s="795"/>
    </row>
    <row r="600" spans="4:5" hidden="1">
      <c r="D600" s="795"/>
      <c r="E600" s="795"/>
    </row>
    <row r="601" spans="4:5" hidden="1">
      <c r="D601" s="795"/>
      <c r="E601" s="795"/>
    </row>
    <row r="602" spans="4:5" hidden="1">
      <c r="D602" s="795"/>
      <c r="E602" s="795"/>
    </row>
    <row r="603" spans="4:5" hidden="1">
      <c r="D603" s="795"/>
      <c r="E603" s="795"/>
    </row>
    <row r="604" spans="4:5" hidden="1">
      <c r="D604" s="795"/>
      <c r="E604" s="795"/>
    </row>
    <row r="605" spans="4:5" hidden="1">
      <c r="D605" s="795"/>
      <c r="E605" s="795"/>
    </row>
    <row r="606" spans="4:5" hidden="1">
      <c r="D606" s="795"/>
      <c r="E606" s="795"/>
    </row>
    <row r="607" spans="4:5" hidden="1">
      <c r="D607" s="795"/>
      <c r="E607" s="795"/>
    </row>
    <row r="608" spans="4:5" hidden="1">
      <c r="D608" s="795"/>
      <c r="E608" s="795"/>
    </row>
    <row r="609" spans="4:5" hidden="1">
      <c r="D609" s="795"/>
      <c r="E609" s="795"/>
    </row>
    <row r="610" spans="4:5" hidden="1">
      <c r="D610" s="795"/>
      <c r="E610" s="795"/>
    </row>
    <row r="611" spans="4:5" hidden="1">
      <c r="D611" s="795"/>
      <c r="E611" s="795"/>
    </row>
    <row r="612" spans="4:5" hidden="1">
      <c r="D612" s="795"/>
      <c r="E612" s="795"/>
    </row>
    <row r="613" spans="4:5" hidden="1">
      <c r="D613" s="795"/>
      <c r="E613" s="795"/>
    </row>
    <row r="614" spans="4:5" hidden="1">
      <c r="D614" s="795"/>
      <c r="E614" s="795"/>
    </row>
    <row r="615" spans="4:5" hidden="1">
      <c r="D615" s="795"/>
      <c r="E615" s="795"/>
    </row>
    <row r="616" spans="4:5" hidden="1">
      <c r="D616" s="795"/>
      <c r="E616" s="795"/>
    </row>
    <row r="617" spans="4:5" hidden="1">
      <c r="D617" s="795"/>
      <c r="E617" s="795"/>
    </row>
    <row r="618" spans="4:5" hidden="1">
      <c r="D618" s="795"/>
      <c r="E618" s="795"/>
    </row>
    <row r="619" spans="4:5" hidden="1">
      <c r="D619" s="795"/>
      <c r="E619" s="795"/>
    </row>
    <row r="620" spans="4:5" hidden="1">
      <c r="D620" s="795"/>
      <c r="E620" s="795"/>
    </row>
    <row r="621" spans="4:5" hidden="1">
      <c r="D621" s="795"/>
      <c r="E621" s="795"/>
    </row>
    <row r="622" spans="4:5" hidden="1">
      <c r="D622" s="795"/>
      <c r="E622" s="795"/>
    </row>
    <row r="623" spans="4:5" hidden="1">
      <c r="D623" s="795"/>
      <c r="E623" s="795"/>
    </row>
    <row r="624" spans="4:5" hidden="1">
      <c r="D624" s="795"/>
      <c r="E624" s="795"/>
    </row>
    <row r="625" spans="4:5" hidden="1">
      <c r="D625" s="795"/>
      <c r="E625" s="795"/>
    </row>
    <row r="626" spans="4:5" hidden="1">
      <c r="D626" s="795"/>
      <c r="E626" s="795"/>
    </row>
    <row r="627" spans="4:5" hidden="1">
      <c r="D627" s="795"/>
      <c r="E627" s="795"/>
    </row>
    <row r="628" spans="4:5" hidden="1">
      <c r="D628" s="795"/>
      <c r="E628" s="795"/>
    </row>
    <row r="629" spans="4:5" hidden="1">
      <c r="D629" s="795"/>
      <c r="E629" s="795"/>
    </row>
    <row r="630" spans="4:5" hidden="1">
      <c r="D630" s="795"/>
      <c r="E630" s="795"/>
    </row>
    <row r="631" spans="4:5" hidden="1">
      <c r="D631" s="795"/>
      <c r="E631" s="795"/>
    </row>
    <row r="632" spans="4:5" hidden="1">
      <c r="D632" s="795"/>
      <c r="E632" s="795"/>
    </row>
    <row r="633" spans="4:5" hidden="1">
      <c r="D633" s="795"/>
      <c r="E633" s="795"/>
    </row>
    <row r="634" spans="4:5" hidden="1">
      <c r="D634" s="795"/>
      <c r="E634" s="795"/>
    </row>
    <row r="635" spans="4:5" hidden="1">
      <c r="D635" s="795"/>
      <c r="E635" s="795"/>
    </row>
    <row r="636" spans="4:5" hidden="1">
      <c r="D636" s="795"/>
      <c r="E636" s="795"/>
    </row>
    <row r="637" spans="4:5" hidden="1">
      <c r="D637" s="795"/>
      <c r="E637" s="795"/>
    </row>
    <row r="638" spans="4:5" hidden="1">
      <c r="D638" s="795"/>
      <c r="E638" s="795"/>
    </row>
    <row r="639" spans="4:5" hidden="1">
      <c r="D639" s="795"/>
      <c r="E639" s="795"/>
    </row>
    <row r="640" spans="4:5" hidden="1">
      <c r="D640" s="795"/>
      <c r="E640" s="795"/>
    </row>
    <row r="641" spans="4:5" hidden="1">
      <c r="D641" s="795"/>
      <c r="E641" s="795"/>
    </row>
    <row r="642" spans="4:5" hidden="1">
      <c r="D642" s="795"/>
      <c r="E642" s="795"/>
    </row>
    <row r="643" spans="4:5" hidden="1">
      <c r="D643" s="795"/>
      <c r="E643" s="795"/>
    </row>
    <row r="644" spans="4:5" hidden="1">
      <c r="D644" s="795"/>
      <c r="E644" s="795"/>
    </row>
    <row r="645" spans="4:5" hidden="1">
      <c r="D645" s="795"/>
      <c r="E645" s="795"/>
    </row>
    <row r="646" spans="4:5" hidden="1">
      <c r="D646" s="795"/>
      <c r="E646" s="795"/>
    </row>
    <row r="647" spans="4:5" hidden="1">
      <c r="D647" s="795"/>
      <c r="E647" s="795"/>
    </row>
    <row r="648" spans="4:5" hidden="1">
      <c r="D648" s="795"/>
      <c r="E648" s="795"/>
    </row>
    <row r="649" spans="4:5" hidden="1">
      <c r="D649" s="795"/>
      <c r="E649" s="795"/>
    </row>
    <row r="650" spans="4:5" hidden="1">
      <c r="D650" s="795"/>
      <c r="E650" s="795"/>
    </row>
    <row r="651" spans="4:5" hidden="1">
      <c r="D651" s="795"/>
      <c r="E651" s="795"/>
    </row>
    <row r="652" spans="4:5" hidden="1">
      <c r="D652" s="795"/>
      <c r="E652" s="795"/>
    </row>
    <row r="653" spans="4:5" hidden="1">
      <c r="D653" s="795"/>
      <c r="E653" s="795"/>
    </row>
    <row r="654" spans="4:5" hidden="1">
      <c r="D654" s="795"/>
      <c r="E654" s="795"/>
    </row>
    <row r="655" spans="4:5" hidden="1">
      <c r="D655" s="795"/>
      <c r="E655" s="795"/>
    </row>
    <row r="656" spans="4:5" hidden="1">
      <c r="D656" s="795"/>
      <c r="E656" s="795"/>
    </row>
    <row r="657" spans="4:5" hidden="1">
      <c r="D657" s="795"/>
      <c r="E657" s="795"/>
    </row>
    <row r="658" spans="4:5" hidden="1">
      <c r="D658" s="795"/>
      <c r="E658" s="795"/>
    </row>
    <row r="659" spans="4:5" hidden="1">
      <c r="D659" s="795"/>
      <c r="E659" s="795"/>
    </row>
    <row r="660" spans="4:5" hidden="1">
      <c r="D660" s="795"/>
      <c r="E660" s="795"/>
    </row>
    <row r="661" spans="4:5" hidden="1">
      <c r="D661" s="795"/>
      <c r="E661" s="795"/>
    </row>
    <row r="662" spans="4:5" hidden="1">
      <c r="D662" s="795"/>
      <c r="E662" s="795"/>
    </row>
    <row r="663" spans="4:5" hidden="1">
      <c r="D663" s="795"/>
      <c r="E663" s="795"/>
    </row>
    <row r="664" spans="4:5" hidden="1">
      <c r="D664" s="795"/>
      <c r="E664" s="795"/>
    </row>
    <row r="665" spans="4:5" hidden="1">
      <c r="D665" s="795"/>
      <c r="E665" s="795"/>
    </row>
    <row r="666" spans="4:5" hidden="1">
      <c r="D666" s="795"/>
      <c r="E666" s="795"/>
    </row>
    <row r="667" spans="4:5" hidden="1">
      <c r="D667" s="795"/>
      <c r="E667" s="795"/>
    </row>
    <row r="668" spans="4:5" hidden="1">
      <c r="D668" s="795"/>
      <c r="E668" s="795"/>
    </row>
    <row r="669" spans="4:5" hidden="1">
      <c r="D669" s="795"/>
      <c r="E669" s="795"/>
    </row>
    <row r="670" spans="4:5" hidden="1">
      <c r="D670" s="795"/>
      <c r="E670" s="795"/>
    </row>
    <row r="671" spans="4:5" hidden="1">
      <c r="D671" s="795"/>
      <c r="E671" s="795"/>
    </row>
    <row r="672" spans="4:5" hidden="1">
      <c r="D672" s="795"/>
      <c r="E672" s="795"/>
    </row>
    <row r="673" spans="4:5" hidden="1">
      <c r="D673" s="795"/>
      <c r="E673" s="795"/>
    </row>
    <row r="674" spans="4:5" hidden="1">
      <c r="D674" s="795"/>
      <c r="E674" s="795"/>
    </row>
    <row r="675" spans="4:5" hidden="1">
      <c r="D675" s="795"/>
      <c r="E675" s="795"/>
    </row>
    <row r="676" spans="4:5" hidden="1">
      <c r="D676" s="795"/>
      <c r="E676" s="795"/>
    </row>
    <row r="677" spans="4:5" hidden="1">
      <c r="D677" s="795"/>
      <c r="E677" s="795"/>
    </row>
    <row r="678" spans="4:5" hidden="1">
      <c r="D678" s="795"/>
      <c r="E678" s="795"/>
    </row>
    <row r="679" spans="4:5" hidden="1">
      <c r="D679" s="795"/>
      <c r="E679" s="795"/>
    </row>
    <row r="680" spans="4:5" hidden="1">
      <c r="D680" s="795"/>
      <c r="E680" s="795"/>
    </row>
    <row r="681" spans="4:5" hidden="1">
      <c r="D681" s="795"/>
      <c r="E681" s="795"/>
    </row>
    <row r="682" spans="4:5" hidden="1">
      <c r="D682" s="795"/>
      <c r="E682" s="795"/>
    </row>
    <row r="683" spans="4:5" hidden="1">
      <c r="D683" s="795"/>
      <c r="E683" s="795"/>
    </row>
    <row r="684" spans="4:5" hidden="1">
      <c r="D684" s="795"/>
      <c r="E684" s="795"/>
    </row>
    <row r="685" spans="4:5" hidden="1">
      <c r="D685" s="795"/>
      <c r="E685" s="795"/>
    </row>
    <row r="686" spans="4:5" hidden="1">
      <c r="D686" s="795"/>
      <c r="E686" s="795"/>
    </row>
    <row r="687" spans="4:5" hidden="1">
      <c r="D687" s="795"/>
      <c r="E687" s="795"/>
    </row>
    <row r="688" spans="4:5" hidden="1">
      <c r="D688" s="795"/>
      <c r="E688" s="795"/>
    </row>
    <row r="689" spans="4:5" hidden="1">
      <c r="D689" s="795"/>
      <c r="E689" s="795"/>
    </row>
    <row r="690" spans="4:5" hidden="1">
      <c r="D690" s="795"/>
      <c r="E690" s="795"/>
    </row>
    <row r="691" spans="4:5" hidden="1">
      <c r="D691" s="795"/>
      <c r="E691" s="795"/>
    </row>
    <row r="692" spans="4:5" hidden="1">
      <c r="D692" s="795"/>
      <c r="E692" s="795"/>
    </row>
    <row r="693" spans="4:5" hidden="1">
      <c r="D693" s="795"/>
      <c r="E693" s="795"/>
    </row>
    <row r="694" spans="4:5" hidden="1">
      <c r="D694" s="795"/>
      <c r="E694" s="795"/>
    </row>
    <row r="695" spans="4:5" hidden="1">
      <c r="D695" s="795"/>
      <c r="E695" s="795"/>
    </row>
    <row r="696" spans="4:5" hidden="1">
      <c r="D696" s="795"/>
      <c r="E696" s="795"/>
    </row>
    <row r="697" spans="4:5" hidden="1">
      <c r="D697" s="795"/>
      <c r="E697" s="795"/>
    </row>
    <row r="698" spans="4:5" hidden="1">
      <c r="D698" s="795"/>
      <c r="E698" s="795"/>
    </row>
    <row r="699" spans="4:5" hidden="1">
      <c r="D699" s="795"/>
      <c r="E699" s="795"/>
    </row>
    <row r="700" spans="4:5" hidden="1">
      <c r="D700" s="795"/>
      <c r="E700" s="795"/>
    </row>
    <row r="701" spans="4:5" hidden="1">
      <c r="D701" s="795"/>
      <c r="E701" s="795"/>
    </row>
    <row r="702" spans="4:5" hidden="1">
      <c r="D702" s="795"/>
      <c r="E702" s="795"/>
    </row>
    <row r="703" spans="4:5" hidden="1">
      <c r="D703" s="795"/>
      <c r="E703" s="795"/>
    </row>
    <row r="704" spans="4:5" hidden="1">
      <c r="D704" s="795"/>
      <c r="E704" s="795"/>
    </row>
    <row r="705" spans="4:5" hidden="1">
      <c r="D705" s="795"/>
      <c r="E705" s="795"/>
    </row>
    <row r="706" spans="4:5" hidden="1">
      <c r="D706" s="795"/>
      <c r="E706" s="795"/>
    </row>
    <row r="707" spans="4:5" hidden="1">
      <c r="D707" s="795"/>
      <c r="E707" s="795"/>
    </row>
    <row r="708" spans="4:5" hidden="1">
      <c r="D708" s="795"/>
      <c r="E708" s="795"/>
    </row>
    <row r="709" spans="4:5" hidden="1">
      <c r="D709" s="795"/>
      <c r="E709" s="795"/>
    </row>
    <row r="710" spans="4:5" hidden="1">
      <c r="D710" s="795"/>
      <c r="E710" s="795"/>
    </row>
    <row r="711" spans="4:5" hidden="1">
      <c r="D711" s="795"/>
      <c r="E711" s="795"/>
    </row>
    <row r="712" spans="4:5" hidden="1">
      <c r="D712" s="795"/>
      <c r="E712" s="795"/>
    </row>
    <row r="713" spans="4:5" hidden="1">
      <c r="D713" s="795"/>
      <c r="E713" s="795"/>
    </row>
    <row r="714" spans="4:5" hidden="1">
      <c r="D714" s="795"/>
      <c r="E714" s="795"/>
    </row>
    <row r="715" spans="4:5" hidden="1">
      <c r="D715" s="795"/>
      <c r="E715" s="795"/>
    </row>
    <row r="716" spans="4:5" hidden="1">
      <c r="D716" s="795"/>
      <c r="E716" s="795"/>
    </row>
    <row r="717" spans="4:5" hidden="1">
      <c r="D717" s="795"/>
      <c r="E717" s="795"/>
    </row>
    <row r="718" spans="4:5" hidden="1">
      <c r="D718" s="795"/>
      <c r="E718" s="795"/>
    </row>
    <row r="719" spans="4:5" hidden="1">
      <c r="D719" s="795"/>
      <c r="E719" s="795"/>
    </row>
    <row r="720" spans="4:5" hidden="1">
      <c r="D720" s="795"/>
      <c r="E720" s="795"/>
    </row>
    <row r="721" spans="4:5" hidden="1">
      <c r="D721" s="795"/>
      <c r="E721" s="795"/>
    </row>
    <row r="722" spans="4:5" hidden="1">
      <c r="D722" s="795"/>
      <c r="E722" s="795"/>
    </row>
    <row r="723" spans="4:5" hidden="1">
      <c r="D723" s="795"/>
      <c r="E723" s="795"/>
    </row>
    <row r="724" spans="4:5" hidden="1">
      <c r="D724" s="795"/>
      <c r="E724" s="795"/>
    </row>
    <row r="725" spans="4:5" hidden="1">
      <c r="D725" s="795"/>
      <c r="E725" s="795"/>
    </row>
    <row r="726" spans="4:5" hidden="1">
      <c r="D726" s="795"/>
      <c r="E726" s="795"/>
    </row>
    <row r="727" spans="4:5" hidden="1">
      <c r="D727" s="795"/>
      <c r="E727" s="795"/>
    </row>
    <row r="728" spans="4:5" hidden="1">
      <c r="D728" s="795"/>
      <c r="E728" s="795"/>
    </row>
    <row r="729" spans="4:5" hidden="1">
      <c r="D729" s="795"/>
      <c r="E729" s="795"/>
    </row>
    <row r="730" spans="4:5" hidden="1">
      <c r="D730" s="795"/>
      <c r="E730" s="795"/>
    </row>
    <row r="731" spans="4:5" hidden="1">
      <c r="D731" s="795"/>
      <c r="E731" s="795"/>
    </row>
    <row r="732" spans="4:5" hidden="1">
      <c r="D732" s="795"/>
      <c r="E732" s="795"/>
    </row>
    <row r="733" spans="4:5" hidden="1">
      <c r="D733" s="795"/>
      <c r="E733" s="795"/>
    </row>
    <row r="734" spans="4:5" hidden="1">
      <c r="D734" s="795"/>
      <c r="E734" s="795"/>
    </row>
    <row r="735" spans="4:5" hidden="1">
      <c r="D735" s="795"/>
      <c r="E735" s="795"/>
    </row>
    <row r="736" spans="4:5" hidden="1">
      <c r="D736" s="795"/>
      <c r="E736" s="795"/>
    </row>
    <row r="737" spans="4:5" hidden="1">
      <c r="D737" s="795"/>
      <c r="E737" s="795"/>
    </row>
    <row r="738" spans="4:5" hidden="1">
      <c r="D738" s="795"/>
      <c r="E738" s="795"/>
    </row>
    <row r="739" spans="4:5" hidden="1">
      <c r="D739" s="795"/>
      <c r="E739" s="795"/>
    </row>
    <row r="740" spans="4:5" hidden="1">
      <c r="D740" s="795"/>
      <c r="E740" s="795"/>
    </row>
    <row r="741" spans="4:5" hidden="1">
      <c r="D741" s="795"/>
      <c r="E741" s="795"/>
    </row>
    <row r="742" spans="4:5" hidden="1">
      <c r="D742" s="795"/>
      <c r="E742" s="795"/>
    </row>
    <row r="743" spans="4:5" hidden="1">
      <c r="D743" s="795"/>
      <c r="E743" s="795"/>
    </row>
    <row r="744" spans="4:5" hidden="1">
      <c r="D744" s="795"/>
      <c r="E744" s="795"/>
    </row>
    <row r="745" spans="4:5" hidden="1">
      <c r="D745" s="795"/>
      <c r="E745" s="795"/>
    </row>
    <row r="746" spans="4:5" hidden="1">
      <c r="D746" s="795"/>
      <c r="E746" s="795"/>
    </row>
    <row r="747" spans="4:5" hidden="1">
      <c r="D747" s="795"/>
      <c r="E747" s="795"/>
    </row>
    <row r="748" spans="4:5" hidden="1">
      <c r="D748" s="795"/>
      <c r="E748" s="795"/>
    </row>
    <row r="749" spans="4:5" hidden="1">
      <c r="D749" s="795"/>
      <c r="E749" s="795"/>
    </row>
    <row r="750" spans="4:5" hidden="1">
      <c r="D750" s="795"/>
      <c r="E750" s="795"/>
    </row>
    <row r="751" spans="4:5" hidden="1">
      <c r="D751" s="795"/>
      <c r="E751" s="795"/>
    </row>
    <row r="752" spans="4:5" hidden="1">
      <c r="D752" s="795"/>
      <c r="E752" s="795"/>
    </row>
    <row r="753" spans="4:5" hidden="1">
      <c r="D753" s="795"/>
      <c r="E753" s="795"/>
    </row>
    <row r="754" spans="4:5" hidden="1">
      <c r="D754" s="795"/>
      <c r="E754" s="795"/>
    </row>
    <row r="755" spans="4:5" hidden="1">
      <c r="D755" s="795"/>
      <c r="E755" s="795"/>
    </row>
    <row r="756" spans="4:5" hidden="1">
      <c r="D756" s="795"/>
      <c r="E756" s="795"/>
    </row>
    <row r="757" spans="4:5" hidden="1">
      <c r="D757" s="795"/>
      <c r="E757" s="795"/>
    </row>
    <row r="758" spans="4:5" hidden="1">
      <c r="D758" s="795"/>
      <c r="E758" s="795"/>
    </row>
    <row r="759" spans="4:5" hidden="1">
      <c r="D759" s="795"/>
      <c r="E759" s="795"/>
    </row>
    <row r="760" spans="4:5" hidden="1">
      <c r="D760" s="795"/>
      <c r="E760" s="795"/>
    </row>
    <row r="761" spans="4:5" hidden="1">
      <c r="D761" s="795"/>
      <c r="E761" s="795"/>
    </row>
    <row r="762" spans="4:5" hidden="1">
      <c r="D762" s="795"/>
      <c r="E762" s="795"/>
    </row>
    <row r="763" spans="4:5" hidden="1">
      <c r="D763" s="795"/>
      <c r="E763" s="795"/>
    </row>
    <row r="764" spans="4:5" hidden="1">
      <c r="D764" s="795"/>
      <c r="E764" s="795"/>
    </row>
    <row r="765" spans="4:5" hidden="1">
      <c r="D765" s="795"/>
      <c r="E765" s="795"/>
    </row>
    <row r="766" spans="4:5" hidden="1">
      <c r="D766" s="795"/>
      <c r="E766" s="795"/>
    </row>
    <row r="767" spans="4:5" hidden="1">
      <c r="D767" s="795"/>
      <c r="E767" s="795"/>
    </row>
    <row r="768" spans="4:5" hidden="1">
      <c r="D768" s="795"/>
      <c r="E768" s="795"/>
    </row>
    <row r="769" spans="4:5" hidden="1">
      <c r="D769" s="795"/>
      <c r="E769" s="795"/>
    </row>
    <row r="770" spans="4:5" hidden="1">
      <c r="D770" s="795"/>
      <c r="E770" s="795"/>
    </row>
    <row r="771" spans="4:5" hidden="1">
      <c r="D771" s="795"/>
      <c r="E771" s="795"/>
    </row>
    <row r="772" spans="4:5" hidden="1">
      <c r="D772" s="795"/>
      <c r="E772" s="795"/>
    </row>
    <row r="773" spans="4:5" hidden="1">
      <c r="D773" s="795"/>
      <c r="E773" s="795"/>
    </row>
    <row r="774" spans="4:5" hidden="1">
      <c r="D774" s="795"/>
      <c r="E774" s="795"/>
    </row>
    <row r="775" spans="4:5" hidden="1">
      <c r="D775" s="795"/>
      <c r="E775" s="795"/>
    </row>
    <row r="776" spans="4:5" hidden="1">
      <c r="D776" s="795"/>
      <c r="E776" s="795"/>
    </row>
    <row r="777" spans="4:5" hidden="1">
      <c r="D777" s="795"/>
      <c r="E777" s="795"/>
    </row>
    <row r="778" spans="4:5" hidden="1">
      <c r="D778" s="795"/>
      <c r="E778" s="795"/>
    </row>
    <row r="779" spans="4:5" hidden="1">
      <c r="D779" s="795"/>
      <c r="E779" s="795"/>
    </row>
    <row r="780" spans="4:5" hidden="1">
      <c r="D780" s="795"/>
      <c r="E780" s="795"/>
    </row>
    <row r="781" spans="4:5" hidden="1">
      <c r="D781" s="795"/>
      <c r="E781" s="795"/>
    </row>
    <row r="782" spans="4:5" hidden="1">
      <c r="D782" s="795"/>
      <c r="E782" s="795"/>
    </row>
    <row r="783" spans="4:5" hidden="1">
      <c r="D783" s="795"/>
      <c r="E783" s="795"/>
    </row>
    <row r="784" spans="4:5" hidden="1">
      <c r="D784" s="795"/>
      <c r="E784" s="795"/>
    </row>
    <row r="785" spans="4:5" hidden="1">
      <c r="D785" s="795"/>
      <c r="E785" s="795"/>
    </row>
    <row r="786" spans="4:5" hidden="1">
      <c r="D786" s="795"/>
      <c r="E786" s="795"/>
    </row>
    <row r="787" spans="4:5" hidden="1">
      <c r="D787" s="795"/>
      <c r="E787" s="795"/>
    </row>
    <row r="788" spans="4:5" hidden="1">
      <c r="D788" s="795"/>
      <c r="E788" s="795"/>
    </row>
    <row r="789" spans="4:5" hidden="1">
      <c r="D789" s="795"/>
      <c r="E789" s="795"/>
    </row>
    <row r="790" spans="4:5" hidden="1">
      <c r="D790" s="795"/>
      <c r="E790" s="795"/>
    </row>
    <row r="791" spans="4:5" hidden="1">
      <c r="D791" s="795"/>
      <c r="E791" s="795"/>
    </row>
    <row r="792" spans="4:5" hidden="1">
      <c r="D792" s="795"/>
      <c r="E792" s="795"/>
    </row>
    <row r="793" spans="4:5" hidden="1">
      <c r="D793" s="795"/>
      <c r="E793" s="795"/>
    </row>
    <row r="794" spans="4:5" hidden="1">
      <c r="D794" s="795"/>
      <c r="E794" s="795"/>
    </row>
    <row r="795" spans="4:5" hidden="1">
      <c r="D795" s="795"/>
      <c r="E795" s="795"/>
    </row>
    <row r="796" spans="4:5" hidden="1">
      <c r="D796" s="795"/>
      <c r="E796" s="795"/>
    </row>
    <row r="797" spans="4:5" hidden="1">
      <c r="D797" s="795"/>
      <c r="E797" s="795"/>
    </row>
    <row r="798" spans="4:5" hidden="1">
      <c r="D798" s="795"/>
      <c r="E798" s="795"/>
    </row>
    <row r="799" spans="4:5" hidden="1">
      <c r="D799" s="795"/>
      <c r="E799" s="795"/>
    </row>
    <row r="800" spans="4:5" hidden="1">
      <c r="D800" s="795"/>
      <c r="E800" s="795"/>
    </row>
    <row r="801" spans="4:5" hidden="1">
      <c r="D801" s="795"/>
      <c r="E801" s="795"/>
    </row>
    <row r="802" spans="4:5" hidden="1">
      <c r="D802" s="795"/>
      <c r="E802" s="795"/>
    </row>
    <row r="803" spans="4:5" hidden="1">
      <c r="D803" s="795"/>
      <c r="E803" s="795"/>
    </row>
    <row r="804" spans="4:5" hidden="1">
      <c r="D804" s="795"/>
      <c r="E804" s="795"/>
    </row>
    <row r="805" spans="4:5" hidden="1">
      <c r="D805" s="795"/>
      <c r="E805" s="795"/>
    </row>
    <row r="806" spans="4:5" hidden="1">
      <c r="D806" s="795"/>
      <c r="E806" s="795"/>
    </row>
    <row r="807" spans="4:5" hidden="1">
      <c r="D807" s="795"/>
      <c r="E807" s="795"/>
    </row>
    <row r="808" spans="4:5" hidden="1">
      <c r="D808" s="795"/>
      <c r="E808" s="795"/>
    </row>
    <row r="809" spans="4:5" hidden="1">
      <c r="D809" s="795"/>
      <c r="E809" s="795"/>
    </row>
    <row r="810" spans="4:5" hidden="1">
      <c r="D810" s="795"/>
      <c r="E810" s="795"/>
    </row>
    <row r="811" spans="4:5" hidden="1">
      <c r="D811" s="795"/>
      <c r="E811" s="795"/>
    </row>
    <row r="812" spans="4:5" hidden="1">
      <c r="D812" s="795"/>
      <c r="E812" s="795"/>
    </row>
    <row r="813" spans="4:5" hidden="1">
      <c r="D813" s="795"/>
      <c r="E813" s="795"/>
    </row>
    <row r="814" spans="4:5" hidden="1">
      <c r="D814" s="795"/>
      <c r="E814" s="795"/>
    </row>
    <row r="815" spans="4:5" hidden="1">
      <c r="D815" s="795"/>
      <c r="E815" s="795"/>
    </row>
    <row r="816" spans="4:5" hidden="1">
      <c r="D816" s="795"/>
      <c r="E816" s="795"/>
    </row>
    <row r="817" spans="4:5" hidden="1">
      <c r="D817" s="795"/>
      <c r="E817" s="795"/>
    </row>
    <row r="818" spans="4:5" hidden="1">
      <c r="D818" s="795"/>
      <c r="E818" s="795"/>
    </row>
    <row r="819" spans="4:5" hidden="1">
      <c r="D819" s="795"/>
      <c r="E819" s="795"/>
    </row>
    <row r="820" spans="4:5" hidden="1">
      <c r="D820" s="795"/>
      <c r="E820" s="795"/>
    </row>
    <row r="821" spans="4:5" hidden="1">
      <c r="D821" s="795"/>
      <c r="E821" s="795"/>
    </row>
    <row r="822" spans="4:5" hidden="1">
      <c r="D822" s="795"/>
      <c r="E822" s="795"/>
    </row>
    <row r="823" spans="4:5" hidden="1">
      <c r="D823" s="795"/>
      <c r="E823" s="795"/>
    </row>
    <row r="824" spans="4:5" hidden="1">
      <c r="D824" s="795"/>
      <c r="E824" s="795"/>
    </row>
    <row r="825" spans="4:5" hidden="1">
      <c r="D825" s="795"/>
      <c r="E825" s="795"/>
    </row>
    <row r="826" spans="4:5" hidden="1">
      <c r="D826" s="795"/>
      <c r="E826" s="795"/>
    </row>
    <row r="827" spans="4:5" hidden="1">
      <c r="D827" s="795"/>
      <c r="E827" s="795"/>
    </row>
    <row r="828" spans="4:5" hidden="1">
      <c r="D828" s="795"/>
      <c r="E828" s="795"/>
    </row>
    <row r="829" spans="4:5" hidden="1">
      <c r="D829" s="795"/>
      <c r="E829" s="795"/>
    </row>
    <row r="830" spans="4:5" hidden="1">
      <c r="D830" s="795"/>
      <c r="E830" s="795"/>
    </row>
    <row r="831" spans="4:5" hidden="1">
      <c r="D831" s="795"/>
      <c r="E831" s="795"/>
    </row>
    <row r="832" spans="4:5" hidden="1">
      <c r="D832" s="795"/>
      <c r="E832" s="795"/>
    </row>
    <row r="833" spans="4:5" hidden="1">
      <c r="D833" s="795"/>
      <c r="E833" s="795"/>
    </row>
    <row r="834" spans="4:5" hidden="1">
      <c r="D834" s="795"/>
      <c r="E834" s="795"/>
    </row>
    <row r="835" spans="4:5" hidden="1">
      <c r="D835" s="795"/>
      <c r="E835" s="795"/>
    </row>
    <row r="836" spans="4:5" hidden="1">
      <c r="D836" s="795"/>
      <c r="E836" s="795"/>
    </row>
    <row r="837" spans="4:5" hidden="1">
      <c r="D837" s="795"/>
      <c r="E837" s="795"/>
    </row>
    <row r="838" spans="4:5" hidden="1">
      <c r="D838" s="795"/>
      <c r="E838" s="795"/>
    </row>
    <row r="839" spans="4:5" hidden="1">
      <c r="D839" s="795"/>
      <c r="E839" s="795"/>
    </row>
    <row r="840" spans="4:5" hidden="1">
      <c r="D840" s="795"/>
      <c r="E840" s="795"/>
    </row>
    <row r="841" spans="4:5" hidden="1">
      <c r="D841" s="795"/>
      <c r="E841" s="795"/>
    </row>
    <row r="842" spans="4:5" hidden="1">
      <c r="D842" s="795"/>
      <c r="E842" s="795"/>
    </row>
    <row r="843" spans="4:5" hidden="1">
      <c r="D843" s="795"/>
      <c r="E843" s="795"/>
    </row>
    <row r="844" spans="4:5" hidden="1">
      <c r="D844" s="795"/>
      <c r="E844" s="795"/>
    </row>
    <row r="845" spans="4:5" hidden="1">
      <c r="D845" s="795"/>
      <c r="E845" s="795"/>
    </row>
    <row r="846" spans="4:5" hidden="1">
      <c r="D846" s="795"/>
      <c r="E846" s="795"/>
    </row>
    <row r="847" spans="4:5" hidden="1">
      <c r="D847" s="795"/>
      <c r="E847" s="795"/>
    </row>
    <row r="848" spans="4:5" hidden="1">
      <c r="D848" s="795"/>
      <c r="E848" s="795"/>
    </row>
    <row r="849" spans="4:5" hidden="1">
      <c r="D849" s="795"/>
      <c r="E849" s="795"/>
    </row>
    <row r="850" spans="4:5" hidden="1">
      <c r="D850" s="795"/>
      <c r="E850" s="795"/>
    </row>
    <row r="851" spans="4:5" hidden="1">
      <c r="D851" s="795"/>
      <c r="E851" s="795"/>
    </row>
    <row r="852" spans="4:5" hidden="1">
      <c r="D852" s="795"/>
      <c r="E852" s="795"/>
    </row>
    <row r="853" spans="4:5" hidden="1">
      <c r="D853" s="795"/>
      <c r="E853" s="795"/>
    </row>
    <row r="854" spans="4:5" hidden="1">
      <c r="D854" s="795"/>
      <c r="E854" s="795"/>
    </row>
    <row r="855" spans="4:5" hidden="1">
      <c r="D855" s="795"/>
      <c r="E855" s="795"/>
    </row>
    <row r="856" spans="4:5" hidden="1">
      <c r="D856" s="795"/>
      <c r="E856" s="795"/>
    </row>
    <row r="857" spans="4:5" hidden="1">
      <c r="D857" s="795"/>
      <c r="E857" s="795"/>
    </row>
    <row r="858" spans="4:5" hidden="1">
      <c r="D858" s="795"/>
      <c r="E858" s="795"/>
    </row>
    <row r="859" spans="4:5" hidden="1">
      <c r="D859" s="795"/>
      <c r="E859" s="795"/>
    </row>
    <row r="860" spans="4:5" hidden="1">
      <c r="D860" s="795"/>
      <c r="E860" s="795"/>
    </row>
    <row r="861" spans="4:5" hidden="1">
      <c r="D861" s="795"/>
      <c r="E861" s="795"/>
    </row>
    <row r="862" spans="4:5" hidden="1">
      <c r="D862" s="795"/>
      <c r="E862" s="795"/>
    </row>
    <row r="863" spans="4:5" hidden="1">
      <c r="D863" s="795"/>
      <c r="E863" s="795"/>
    </row>
    <row r="864" spans="4:5" hidden="1">
      <c r="D864" s="795"/>
      <c r="E864" s="795"/>
    </row>
    <row r="865" spans="4:5" hidden="1">
      <c r="D865" s="795"/>
      <c r="E865" s="795"/>
    </row>
    <row r="866" spans="4:5" hidden="1">
      <c r="D866" s="795"/>
      <c r="E866" s="795"/>
    </row>
    <row r="867" spans="4:5" hidden="1">
      <c r="D867" s="795"/>
      <c r="E867" s="795"/>
    </row>
    <row r="868" spans="4:5" hidden="1">
      <c r="D868" s="795"/>
      <c r="E868" s="795"/>
    </row>
    <row r="869" spans="4:5" hidden="1">
      <c r="D869" s="795"/>
      <c r="E869" s="795"/>
    </row>
    <row r="870" spans="4:5" hidden="1">
      <c r="D870" s="795"/>
      <c r="E870" s="795"/>
    </row>
    <row r="871" spans="4:5" hidden="1">
      <c r="D871" s="795"/>
      <c r="E871" s="795"/>
    </row>
    <row r="872" spans="4:5" hidden="1">
      <c r="D872" s="795"/>
      <c r="E872" s="795"/>
    </row>
    <row r="873" spans="4:5" hidden="1">
      <c r="D873" s="795"/>
      <c r="E873" s="795"/>
    </row>
    <row r="874" spans="4:5" hidden="1">
      <c r="D874" s="795"/>
      <c r="E874" s="795"/>
    </row>
    <row r="875" spans="4:5" hidden="1">
      <c r="D875" s="795"/>
      <c r="E875" s="795"/>
    </row>
    <row r="876" spans="4:5" hidden="1">
      <c r="D876" s="795"/>
      <c r="E876" s="795"/>
    </row>
    <row r="877" spans="4:5" hidden="1">
      <c r="D877" s="795"/>
      <c r="E877" s="795"/>
    </row>
    <row r="878" spans="4:5" hidden="1">
      <c r="D878" s="795"/>
      <c r="E878" s="795"/>
    </row>
    <row r="879" spans="4:5" hidden="1">
      <c r="D879" s="795"/>
      <c r="E879" s="795"/>
    </row>
    <row r="880" spans="4:5" hidden="1">
      <c r="D880" s="795"/>
      <c r="E880" s="795"/>
    </row>
    <row r="881" spans="4:5" hidden="1">
      <c r="D881" s="795"/>
      <c r="E881" s="795"/>
    </row>
    <row r="882" spans="4:5" hidden="1">
      <c r="D882" s="795"/>
      <c r="E882" s="795"/>
    </row>
    <row r="883" spans="4:5" hidden="1">
      <c r="D883" s="795"/>
      <c r="E883" s="795"/>
    </row>
    <row r="884" spans="4:5" hidden="1">
      <c r="D884" s="795"/>
      <c r="E884" s="795"/>
    </row>
    <row r="885" spans="4:5" hidden="1">
      <c r="D885" s="795"/>
      <c r="E885" s="795"/>
    </row>
    <row r="886" spans="4:5" hidden="1">
      <c r="D886" s="795"/>
      <c r="E886" s="795"/>
    </row>
    <row r="887" spans="4:5" hidden="1">
      <c r="D887" s="795"/>
      <c r="E887" s="795"/>
    </row>
    <row r="888" spans="4:5" hidden="1">
      <c r="D888" s="795"/>
      <c r="E888" s="795"/>
    </row>
    <row r="889" spans="4:5" hidden="1">
      <c r="D889" s="795"/>
      <c r="E889" s="795"/>
    </row>
    <row r="890" spans="4:5" hidden="1">
      <c r="D890" s="795"/>
      <c r="E890" s="795"/>
    </row>
    <row r="891" spans="4:5" hidden="1">
      <c r="D891" s="795"/>
      <c r="E891" s="795"/>
    </row>
    <row r="892" spans="4:5" hidden="1">
      <c r="D892" s="795"/>
      <c r="E892" s="795"/>
    </row>
    <row r="893" spans="4:5" hidden="1">
      <c r="D893" s="795"/>
      <c r="E893" s="795"/>
    </row>
    <row r="894" spans="4:5" hidden="1">
      <c r="D894" s="795"/>
      <c r="E894" s="795"/>
    </row>
    <row r="895" spans="4:5" hidden="1">
      <c r="D895" s="795"/>
      <c r="E895" s="795"/>
    </row>
    <row r="896" spans="4:5" hidden="1">
      <c r="D896" s="795"/>
      <c r="E896" s="795"/>
    </row>
    <row r="897" spans="4:5" hidden="1">
      <c r="D897" s="795"/>
      <c r="E897" s="795"/>
    </row>
    <row r="898" spans="4:5" hidden="1">
      <c r="D898" s="795"/>
      <c r="E898" s="795"/>
    </row>
    <row r="899" spans="4:5" hidden="1">
      <c r="D899" s="795"/>
      <c r="E899" s="795"/>
    </row>
    <row r="900" spans="4:5" hidden="1">
      <c r="D900" s="795"/>
      <c r="E900" s="795"/>
    </row>
    <row r="901" spans="4:5" hidden="1">
      <c r="D901" s="795"/>
      <c r="E901" s="795"/>
    </row>
    <row r="902" spans="4:5" hidden="1">
      <c r="D902" s="795"/>
      <c r="E902" s="795"/>
    </row>
    <row r="903" spans="4:5" hidden="1">
      <c r="D903" s="795"/>
      <c r="E903" s="795"/>
    </row>
    <row r="904" spans="4:5" hidden="1">
      <c r="D904" s="795"/>
      <c r="E904" s="795"/>
    </row>
    <row r="905" spans="4:5" hidden="1">
      <c r="D905" s="795"/>
      <c r="E905" s="795"/>
    </row>
    <row r="906" spans="4:5" hidden="1">
      <c r="D906" s="795"/>
      <c r="E906" s="795"/>
    </row>
    <row r="907" spans="4:5" hidden="1">
      <c r="D907" s="795"/>
      <c r="E907" s="795"/>
    </row>
    <row r="908" spans="4:5" hidden="1">
      <c r="D908" s="795"/>
      <c r="E908" s="795"/>
    </row>
    <row r="909" spans="4:5" hidden="1">
      <c r="D909" s="795"/>
      <c r="E909" s="795"/>
    </row>
    <row r="910" spans="4:5" hidden="1">
      <c r="D910" s="795"/>
      <c r="E910" s="795"/>
    </row>
    <row r="911" spans="4:5" hidden="1">
      <c r="D911" s="795"/>
      <c r="E911" s="795"/>
    </row>
    <row r="912" spans="4:5" hidden="1">
      <c r="D912" s="795"/>
      <c r="E912" s="795"/>
    </row>
    <row r="913" spans="4:5" hidden="1">
      <c r="D913" s="795"/>
      <c r="E913" s="795"/>
    </row>
    <row r="914" spans="4:5" hidden="1">
      <c r="D914" s="795"/>
      <c r="E914" s="795"/>
    </row>
    <row r="915" spans="4:5" hidden="1">
      <c r="D915" s="795"/>
      <c r="E915" s="795"/>
    </row>
    <row r="916" spans="4:5" hidden="1">
      <c r="D916" s="795"/>
      <c r="E916" s="795"/>
    </row>
    <row r="917" spans="4:5" hidden="1">
      <c r="D917" s="795"/>
      <c r="E917" s="795"/>
    </row>
    <row r="918" spans="4:5" hidden="1">
      <c r="D918" s="795"/>
      <c r="E918" s="795"/>
    </row>
    <row r="919" spans="4:5" hidden="1">
      <c r="D919" s="795"/>
      <c r="E919" s="795"/>
    </row>
    <row r="920" spans="4:5" hidden="1">
      <c r="D920" s="795"/>
      <c r="E920" s="795"/>
    </row>
    <row r="921" spans="4:5" hidden="1">
      <c r="D921" s="795"/>
      <c r="E921" s="795"/>
    </row>
    <row r="922" spans="4:5" hidden="1">
      <c r="D922" s="795"/>
      <c r="E922" s="795"/>
    </row>
    <row r="923" spans="4:5" hidden="1">
      <c r="D923" s="795"/>
      <c r="E923" s="795"/>
    </row>
    <row r="924" spans="4:5" hidden="1">
      <c r="D924" s="795"/>
      <c r="E924" s="795"/>
    </row>
    <row r="925" spans="4:5" hidden="1">
      <c r="D925" s="795"/>
      <c r="E925" s="795"/>
    </row>
    <row r="926" spans="4:5" hidden="1">
      <c r="D926" s="795"/>
      <c r="E926" s="795"/>
    </row>
    <row r="927" spans="4:5" hidden="1">
      <c r="D927" s="795"/>
      <c r="E927" s="795"/>
    </row>
    <row r="928" spans="4:5" hidden="1">
      <c r="D928" s="795"/>
      <c r="E928" s="795"/>
    </row>
    <row r="929" spans="4:5" hidden="1">
      <c r="D929" s="795"/>
      <c r="E929" s="795"/>
    </row>
    <row r="930" spans="4:5" hidden="1">
      <c r="D930" s="795"/>
      <c r="E930" s="795"/>
    </row>
    <row r="931" spans="4:5" hidden="1">
      <c r="D931" s="795"/>
      <c r="E931" s="795"/>
    </row>
    <row r="932" spans="4:5" hidden="1">
      <c r="D932" s="795"/>
      <c r="E932" s="795"/>
    </row>
    <row r="933" spans="4:5" hidden="1">
      <c r="D933" s="795"/>
      <c r="E933" s="795"/>
    </row>
    <row r="934" spans="4:5" hidden="1">
      <c r="D934" s="795"/>
      <c r="E934" s="795"/>
    </row>
    <row r="935" spans="4:5" hidden="1">
      <c r="D935" s="795"/>
      <c r="E935" s="795"/>
    </row>
    <row r="936" spans="4:5" hidden="1">
      <c r="D936" s="795"/>
      <c r="E936" s="795"/>
    </row>
    <row r="937" spans="4:5" hidden="1">
      <c r="D937" s="795"/>
      <c r="E937" s="795"/>
    </row>
    <row r="938" spans="4:5" hidden="1">
      <c r="D938" s="795"/>
      <c r="E938" s="795"/>
    </row>
    <row r="939" spans="4:5" hidden="1">
      <c r="D939" s="795"/>
      <c r="E939" s="795"/>
    </row>
    <row r="940" spans="4:5" hidden="1">
      <c r="D940" s="795"/>
      <c r="E940" s="795"/>
    </row>
    <row r="941" spans="4:5" hidden="1">
      <c r="D941" s="795"/>
      <c r="E941" s="795"/>
    </row>
    <row r="942" spans="4:5" hidden="1">
      <c r="D942" s="795"/>
      <c r="E942" s="795"/>
    </row>
    <row r="943" spans="4:5" hidden="1">
      <c r="D943" s="795"/>
      <c r="E943" s="795"/>
    </row>
    <row r="944" spans="4:5" hidden="1">
      <c r="D944" s="795"/>
      <c r="E944" s="795"/>
    </row>
    <row r="945" spans="4:5" hidden="1">
      <c r="D945" s="795"/>
      <c r="E945" s="795"/>
    </row>
    <row r="946" spans="4:5" hidden="1">
      <c r="D946" s="795"/>
      <c r="E946" s="795"/>
    </row>
    <row r="947" spans="4:5" hidden="1">
      <c r="D947" s="795"/>
      <c r="E947" s="795"/>
    </row>
    <row r="948" spans="4:5" hidden="1">
      <c r="D948" s="795"/>
      <c r="E948" s="795"/>
    </row>
    <row r="949" spans="4:5" hidden="1">
      <c r="D949" s="795"/>
      <c r="E949" s="795"/>
    </row>
    <row r="950" spans="4:5" hidden="1">
      <c r="D950" s="795"/>
      <c r="E950" s="795"/>
    </row>
    <row r="951" spans="4:5" hidden="1">
      <c r="D951" s="795"/>
      <c r="E951" s="795"/>
    </row>
    <row r="952" spans="4:5" hidden="1">
      <c r="D952" s="795"/>
      <c r="E952" s="795"/>
    </row>
    <row r="953" spans="4:5" hidden="1">
      <c r="D953" s="795"/>
      <c r="E953" s="795"/>
    </row>
    <row r="954" spans="4:5" hidden="1">
      <c r="D954" s="795"/>
      <c r="E954" s="795"/>
    </row>
    <row r="955" spans="4:5" hidden="1">
      <c r="D955" s="795"/>
      <c r="E955" s="795"/>
    </row>
    <row r="956" spans="4:5" hidden="1">
      <c r="D956" s="795"/>
      <c r="E956" s="795"/>
    </row>
    <row r="957" spans="4:5" hidden="1">
      <c r="D957" s="795"/>
      <c r="E957" s="795"/>
    </row>
    <row r="958" spans="4:5" hidden="1">
      <c r="D958" s="795"/>
      <c r="E958" s="795"/>
    </row>
    <row r="959" spans="4:5" hidden="1">
      <c r="D959" s="795"/>
      <c r="E959" s="795"/>
    </row>
    <row r="960" spans="4:5" hidden="1">
      <c r="D960" s="795"/>
      <c r="E960" s="795"/>
    </row>
    <row r="961" spans="4:5" hidden="1">
      <c r="D961" s="795"/>
      <c r="E961" s="795"/>
    </row>
    <row r="962" spans="4:5" hidden="1">
      <c r="D962" s="795"/>
      <c r="E962" s="795"/>
    </row>
    <row r="963" spans="4:5" hidden="1">
      <c r="D963" s="795"/>
      <c r="E963" s="795"/>
    </row>
    <row r="964" spans="4:5" hidden="1">
      <c r="D964" s="795"/>
      <c r="E964" s="795"/>
    </row>
    <row r="965" spans="4:5" hidden="1">
      <c r="D965" s="795"/>
      <c r="E965" s="795"/>
    </row>
    <row r="966" spans="4:5" hidden="1">
      <c r="D966" s="795"/>
      <c r="E966" s="795"/>
    </row>
    <row r="967" spans="4:5" hidden="1">
      <c r="D967" s="795"/>
      <c r="E967" s="795"/>
    </row>
    <row r="968" spans="4:5" hidden="1">
      <c r="D968" s="795"/>
      <c r="E968" s="795"/>
    </row>
    <row r="969" spans="4:5" hidden="1">
      <c r="D969" s="795"/>
      <c r="E969" s="795"/>
    </row>
    <row r="970" spans="4:5" hidden="1">
      <c r="D970" s="795"/>
      <c r="E970" s="795"/>
    </row>
    <row r="971" spans="4:5" hidden="1">
      <c r="D971" s="795"/>
      <c r="E971" s="795"/>
    </row>
    <row r="972" spans="4:5" hidden="1">
      <c r="D972" s="795"/>
      <c r="E972" s="795"/>
    </row>
    <row r="973" spans="4:5" hidden="1">
      <c r="D973" s="795"/>
      <c r="E973" s="795"/>
    </row>
    <row r="974" spans="4:5" hidden="1">
      <c r="D974" s="795"/>
      <c r="E974" s="795"/>
    </row>
    <row r="975" spans="4:5" hidden="1">
      <c r="D975" s="795"/>
      <c r="E975" s="795"/>
    </row>
    <row r="976" spans="4:5" hidden="1">
      <c r="D976" s="795"/>
      <c r="E976" s="795"/>
    </row>
    <row r="977" spans="4:5" hidden="1">
      <c r="D977" s="795"/>
      <c r="E977" s="795"/>
    </row>
    <row r="978" spans="4:5" hidden="1">
      <c r="D978" s="795"/>
      <c r="E978" s="795"/>
    </row>
    <row r="979" spans="4:5" hidden="1">
      <c r="D979" s="795"/>
      <c r="E979" s="795"/>
    </row>
    <row r="980" spans="4:5" hidden="1">
      <c r="D980" s="795"/>
      <c r="E980" s="795"/>
    </row>
    <row r="981" spans="4:5" hidden="1">
      <c r="D981" s="795"/>
      <c r="E981" s="795"/>
    </row>
    <row r="982" spans="4:5" hidden="1">
      <c r="D982" s="795"/>
      <c r="E982" s="795"/>
    </row>
    <row r="983" spans="4:5" hidden="1">
      <c r="D983" s="795"/>
      <c r="E983" s="795"/>
    </row>
    <row r="984" spans="4:5" hidden="1">
      <c r="D984" s="795"/>
      <c r="E984" s="795"/>
    </row>
    <row r="985" spans="4:5" hidden="1">
      <c r="D985" s="795"/>
      <c r="E985" s="795"/>
    </row>
    <row r="986" spans="4:5" hidden="1">
      <c r="D986" s="795"/>
      <c r="E986" s="795"/>
    </row>
    <row r="987" spans="4:5" hidden="1">
      <c r="D987" s="795"/>
      <c r="E987" s="795"/>
    </row>
    <row r="988" spans="4:5" hidden="1">
      <c r="D988" s="795"/>
      <c r="E988" s="795"/>
    </row>
    <row r="989" spans="4:5" hidden="1">
      <c r="D989" s="795"/>
      <c r="E989" s="795"/>
    </row>
    <row r="990" spans="4:5" hidden="1">
      <c r="D990" s="795"/>
      <c r="E990" s="795"/>
    </row>
    <row r="991" spans="4:5" hidden="1">
      <c r="D991" s="795"/>
      <c r="E991" s="795"/>
    </row>
    <row r="992" spans="4:5" hidden="1">
      <c r="D992" s="795"/>
      <c r="E992" s="795"/>
    </row>
    <row r="993" spans="4:5" hidden="1">
      <c r="D993" s="795"/>
      <c r="E993" s="795"/>
    </row>
    <row r="994" spans="4:5" hidden="1">
      <c r="D994" s="795"/>
      <c r="E994" s="795"/>
    </row>
    <row r="995" spans="4:5" hidden="1">
      <c r="D995" s="795"/>
      <c r="E995" s="795"/>
    </row>
    <row r="996" spans="4:5" hidden="1">
      <c r="D996" s="795"/>
      <c r="E996" s="795"/>
    </row>
    <row r="997" spans="4:5" hidden="1">
      <c r="D997" s="795"/>
      <c r="E997" s="795"/>
    </row>
    <row r="998" spans="4:5" hidden="1">
      <c r="D998" s="795"/>
      <c r="E998" s="795"/>
    </row>
    <row r="999" spans="4:5" hidden="1">
      <c r="D999" s="795"/>
      <c r="E999" s="795"/>
    </row>
    <row r="1000" spans="4:5" hidden="1">
      <c r="D1000" s="795"/>
      <c r="E1000" s="795"/>
    </row>
    <row r="1001" spans="4:5" hidden="1">
      <c r="D1001" s="795"/>
      <c r="E1001" s="795"/>
    </row>
    <row r="1002" spans="4:5" hidden="1">
      <c r="D1002" s="795"/>
      <c r="E1002" s="795"/>
    </row>
    <row r="1003" spans="4:5" hidden="1">
      <c r="D1003" s="795"/>
      <c r="E1003" s="795"/>
    </row>
    <row r="1004" spans="4:5" hidden="1">
      <c r="D1004" s="795"/>
      <c r="E1004" s="795"/>
    </row>
    <row r="1005" spans="4:5" hidden="1">
      <c r="D1005" s="795"/>
      <c r="E1005" s="795"/>
    </row>
    <row r="1006" spans="4:5" hidden="1">
      <c r="D1006" s="795"/>
      <c r="E1006" s="795"/>
    </row>
    <row r="1007" spans="4:5" hidden="1">
      <c r="D1007" s="795"/>
      <c r="E1007" s="795"/>
    </row>
    <row r="1008" spans="4:5" hidden="1">
      <c r="D1008" s="795"/>
      <c r="E1008" s="795"/>
    </row>
    <row r="1009" spans="4:5" hidden="1">
      <c r="D1009" s="795"/>
      <c r="E1009" s="795"/>
    </row>
    <row r="1010" spans="4:5" hidden="1">
      <c r="D1010" s="795"/>
      <c r="E1010" s="795"/>
    </row>
    <row r="1011" spans="4:5" hidden="1">
      <c r="D1011" s="795"/>
      <c r="E1011" s="795"/>
    </row>
    <row r="1012" spans="4:5" hidden="1">
      <c r="D1012" s="795"/>
      <c r="E1012" s="795"/>
    </row>
    <row r="1013" spans="4:5" hidden="1">
      <c r="D1013" s="795"/>
      <c r="E1013" s="795"/>
    </row>
    <row r="1014" spans="4:5" hidden="1">
      <c r="D1014" s="795"/>
      <c r="E1014" s="795"/>
    </row>
    <row r="1015" spans="4:5" hidden="1">
      <c r="D1015" s="795"/>
      <c r="E1015" s="795"/>
    </row>
    <row r="1016" spans="4:5" hidden="1">
      <c r="D1016" s="795"/>
      <c r="E1016" s="795"/>
    </row>
    <row r="1017" spans="4:5" hidden="1">
      <c r="D1017" s="795"/>
      <c r="E1017" s="795"/>
    </row>
    <row r="1018" spans="4:5" hidden="1">
      <c r="D1018" s="795"/>
      <c r="E1018" s="795"/>
    </row>
    <row r="1019" spans="4:5" hidden="1">
      <c r="D1019" s="795"/>
      <c r="E1019" s="795"/>
    </row>
    <row r="1020" spans="4:5" hidden="1">
      <c r="D1020" s="795"/>
      <c r="E1020" s="795"/>
    </row>
    <row r="1021" spans="4:5" hidden="1">
      <c r="D1021" s="795"/>
      <c r="E1021" s="795"/>
    </row>
    <row r="1022" spans="4:5" hidden="1">
      <c r="D1022" s="795"/>
      <c r="E1022" s="795"/>
    </row>
    <row r="1023" spans="4:5" hidden="1">
      <c r="D1023" s="795"/>
      <c r="E1023" s="795"/>
    </row>
    <row r="1024" spans="4:5" hidden="1">
      <c r="D1024" s="795"/>
      <c r="E1024" s="795"/>
    </row>
    <row r="1025" spans="4:5" hidden="1">
      <c r="D1025" s="795"/>
      <c r="E1025" s="795"/>
    </row>
    <row r="1026" spans="4:5" hidden="1">
      <c r="D1026" s="795"/>
      <c r="E1026" s="795"/>
    </row>
    <row r="1027" spans="4:5" hidden="1">
      <c r="D1027" s="795"/>
      <c r="E1027" s="795"/>
    </row>
    <row r="1028" spans="4:5" hidden="1">
      <c r="D1028" s="795"/>
      <c r="E1028" s="795"/>
    </row>
    <row r="1029" spans="4:5" hidden="1">
      <c r="D1029" s="795"/>
      <c r="E1029" s="795"/>
    </row>
    <row r="1030" spans="4:5" hidden="1">
      <c r="D1030" s="795"/>
      <c r="E1030" s="795"/>
    </row>
    <row r="1031" spans="4:5" hidden="1">
      <c r="D1031" s="795"/>
      <c r="E1031" s="795"/>
    </row>
    <row r="1032" spans="4:5" hidden="1">
      <c r="D1032" s="795"/>
      <c r="E1032" s="795"/>
    </row>
    <row r="1033" spans="4:5" hidden="1">
      <c r="D1033" s="795"/>
      <c r="E1033" s="795"/>
    </row>
    <row r="1034" spans="4:5" hidden="1">
      <c r="D1034" s="795"/>
      <c r="E1034" s="795"/>
    </row>
    <row r="1035" spans="4:5" hidden="1">
      <c r="D1035" s="795"/>
      <c r="E1035" s="795"/>
    </row>
    <row r="1036" spans="4:5" hidden="1">
      <c r="D1036" s="795"/>
      <c r="E1036" s="795"/>
    </row>
    <row r="1037" spans="4:5" hidden="1">
      <c r="D1037" s="795"/>
      <c r="E1037" s="795"/>
    </row>
    <row r="1038" spans="4:5" hidden="1">
      <c r="D1038" s="795"/>
      <c r="E1038" s="795"/>
    </row>
    <row r="1039" spans="4:5" hidden="1">
      <c r="D1039" s="795"/>
      <c r="E1039" s="795"/>
    </row>
    <row r="1040" spans="4:5" hidden="1">
      <c r="D1040" s="795"/>
      <c r="E1040" s="795"/>
    </row>
    <row r="1041" spans="4:5" hidden="1">
      <c r="D1041" s="795"/>
      <c r="E1041" s="795"/>
    </row>
    <row r="1042" spans="4:5" hidden="1">
      <c r="D1042" s="795"/>
      <c r="E1042" s="795"/>
    </row>
    <row r="1043" spans="4:5" hidden="1">
      <c r="D1043" s="795"/>
      <c r="E1043" s="795"/>
    </row>
    <row r="1044" spans="4:5" hidden="1">
      <c r="D1044" s="795"/>
      <c r="E1044" s="795"/>
    </row>
    <row r="1045" spans="4:5" hidden="1">
      <c r="D1045" s="795"/>
      <c r="E1045" s="795"/>
    </row>
    <row r="1046" spans="4:5" hidden="1">
      <c r="D1046" s="795"/>
      <c r="E1046" s="795"/>
    </row>
    <row r="1047" spans="4:5" hidden="1">
      <c r="D1047" s="795"/>
      <c r="E1047" s="795"/>
    </row>
    <row r="1048" spans="4:5" hidden="1">
      <c r="D1048" s="795"/>
      <c r="E1048" s="795"/>
    </row>
    <row r="1049" spans="4:5" hidden="1">
      <c r="D1049" s="795"/>
      <c r="E1049" s="795"/>
    </row>
    <row r="1050" spans="4:5" hidden="1">
      <c r="D1050" s="795"/>
      <c r="E1050" s="795"/>
    </row>
    <row r="1051" spans="4:5" hidden="1">
      <c r="D1051" s="795"/>
      <c r="E1051" s="795"/>
    </row>
    <row r="1052" spans="4:5" hidden="1">
      <c r="D1052" s="795"/>
      <c r="E1052" s="795"/>
    </row>
    <row r="1053" spans="4:5" hidden="1">
      <c r="D1053" s="795"/>
      <c r="E1053" s="795"/>
    </row>
    <row r="1054" spans="4:5" hidden="1">
      <c r="D1054" s="795"/>
      <c r="E1054" s="795"/>
    </row>
    <row r="1055" spans="4:5" hidden="1">
      <c r="D1055" s="795"/>
      <c r="E1055" s="795"/>
    </row>
    <row r="1056" spans="4:5" hidden="1">
      <c r="D1056" s="795"/>
      <c r="E1056" s="795"/>
    </row>
    <row r="1057" spans="4:5" hidden="1">
      <c r="D1057" s="795"/>
      <c r="E1057" s="795"/>
    </row>
    <row r="1058" spans="4:5" hidden="1">
      <c r="D1058" s="795"/>
      <c r="E1058" s="795"/>
    </row>
    <row r="1059" spans="4:5" hidden="1">
      <c r="D1059" s="795"/>
      <c r="E1059" s="795"/>
    </row>
    <row r="1060" spans="4:5" hidden="1">
      <c r="D1060" s="795"/>
      <c r="E1060" s="795"/>
    </row>
    <row r="1061" spans="4:5" hidden="1">
      <c r="D1061" s="795"/>
      <c r="E1061" s="795"/>
    </row>
    <row r="1062" spans="4:5" hidden="1">
      <c r="D1062" s="795"/>
      <c r="E1062" s="795"/>
    </row>
    <row r="1063" spans="4:5" hidden="1">
      <c r="D1063" s="795"/>
      <c r="E1063" s="795"/>
    </row>
    <row r="1064" spans="4:5" hidden="1">
      <c r="D1064" s="795"/>
      <c r="E1064" s="795"/>
    </row>
    <row r="1065" spans="4:5" hidden="1">
      <c r="D1065" s="795"/>
      <c r="E1065" s="795"/>
    </row>
    <row r="1066" spans="4:5" hidden="1">
      <c r="D1066" s="795"/>
      <c r="E1066" s="795"/>
    </row>
    <row r="1067" spans="4:5" hidden="1">
      <c r="D1067" s="795"/>
      <c r="E1067" s="795"/>
    </row>
    <row r="1068" spans="4:5" hidden="1">
      <c r="D1068" s="795"/>
      <c r="E1068" s="795"/>
    </row>
    <row r="1069" spans="4:5" hidden="1">
      <c r="D1069" s="795"/>
      <c r="E1069" s="795"/>
    </row>
    <row r="1070" spans="4:5" hidden="1">
      <c r="D1070" s="795"/>
      <c r="E1070" s="795"/>
    </row>
    <row r="1071" spans="4:5" hidden="1">
      <c r="D1071" s="795"/>
      <c r="E1071" s="795"/>
    </row>
    <row r="1072" spans="4:5" hidden="1">
      <c r="D1072" s="795"/>
      <c r="E1072" s="795"/>
    </row>
    <row r="1073" spans="4:5" hidden="1">
      <c r="D1073" s="795"/>
      <c r="E1073" s="795"/>
    </row>
    <row r="1074" spans="4:5" hidden="1">
      <c r="D1074" s="795"/>
      <c r="E1074" s="795"/>
    </row>
    <row r="1075" spans="4:5" hidden="1">
      <c r="D1075" s="795"/>
      <c r="E1075" s="795"/>
    </row>
    <row r="1076" spans="4:5" hidden="1">
      <c r="D1076" s="795"/>
      <c r="E1076" s="795"/>
    </row>
    <row r="1077" spans="4:5" hidden="1">
      <c r="D1077" s="795"/>
      <c r="E1077" s="795"/>
    </row>
    <row r="1078" spans="4:5" hidden="1">
      <c r="D1078" s="795"/>
      <c r="E1078" s="795"/>
    </row>
    <row r="1079" spans="4:5" hidden="1">
      <c r="D1079" s="795"/>
      <c r="E1079" s="795"/>
    </row>
    <row r="1080" spans="4:5" hidden="1">
      <c r="D1080" s="795"/>
      <c r="E1080" s="795"/>
    </row>
    <row r="1081" spans="4:5" hidden="1">
      <c r="D1081" s="795"/>
      <c r="E1081" s="795"/>
    </row>
    <row r="1082" spans="4:5" hidden="1">
      <c r="D1082" s="795"/>
      <c r="E1082" s="795"/>
    </row>
    <row r="1083" spans="4:5" hidden="1">
      <c r="D1083" s="795"/>
      <c r="E1083" s="795"/>
    </row>
    <row r="1084" spans="4:5" hidden="1">
      <c r="D1084" s="795"/>
      <c r="E1084" s="795"/>
    </row>
    <row r="1085" spans="4:5" hidden="1">
      <c r="D1085" s="795"/>
      <c r="E1085" s="795"/>
    </row>
    <row r="1086" spans="4:5" hidden="1">
      <c r="D1086" s="795"/>
      <c r="E1086" s="795"/>
    </row>
    <row r="1087" spans="4:5" hidden="1">
      <c r="D1087" s="795"/>
      <c r="E1087" s="795"/>
    </row>
    <row r="1088" spans="4:5" hidden="1">
      <c r="D1088" s="795"/>
      <c r="E1088" s="795"/>
    </row>
    <row r="1089" spans="4:5" hidden="1">
      <c r="D1089" s="795"/>
      <c r="E1089" s="795"/>
    </row>
    <row r="1090" spans="4:5" hidden="1">
      <c r="D1090" s="795"/>
      <c r="E1090" s="795"/>
    </row>
    <row r="1091" spans="4:5" hidden="1">
      <c r="D1091" s="795"/>
      <c r="E1091" s="795"/>
    </row>
    <row r="1092" spans="4:5" hidden="1">
      <c r="D1092" s="795"/>
      <c r="E1092" s="795"/>
    </row>
    <row r="1093" spans="4:5" hidden="1">
      <c r="D1093" s="795"/>
      <c r="E1093" s="795"/>
    </row>
    <row r="1094" spans="4:5" hidden="1">
      <c r="D1094" s="795"/>
      <c r="E1094" s="795"/>
    </row>
    <row r="1095" spans="4:5" hidden="1">
      <c r="D1095" s="795"/>
      <c r="E1095" s="795"/>
    </row>
    <row r="1096" spans="4:5" hidden="1">
      <c r="D1096" s="795"/>
      <c r="E1096" s="795"/>
    </row>
    <row r="1097" spans="4:5" hidden="1">
      <c r="D1097" s="795"/>
      <c r="E1097" s="795"/>
    </row>
    <row r="1098" spans="4:5" hidden="1">
      <c r="D1098" s="795"/>
      <c r="E1098" s="795"/>
    </row>
    <row r="1099" spans="4:5" hidden="1">
      <c r="D1099" s="795"/>
      <c r="E1099" s="795"/>
    </row>
    <row r="1100" spans="4:5" hidden="1">
      <c r="D1100" s="795"/>
      <c r="E1100" s="795"/>
    </row>
    <row r="1101" spans="4:5" hidden="1">
      <c r="D1101" s="795"/>
      <c r="E1101" s="795"/>
    </row>
    <row r="1102" spans="4:5" hidden="1">
      <c r="D1102" s="795"/>
      <c r="E1102" s="795"/>
    </row>
    <row r="1103" spans="4:5" hidden="1">
      <c r="D1103" s="795"/>
      <c r="E1103" s="795"/>
    </row>
    <row r="1104" spans="4:5" hidden="1">
      <c r="D1104" s="795"/>
      <c r="E1104" s="795"/>
    </row>
    <row r="1105" spans="4:5" hidden="1">
      <c r="D1105" s="795"/>
      <c r="E1105" s="795"/>
    </row>
    <row r="1106" spans="4:5" hidden="1">
      <c r="D1106" s="795"/>
      <c r="E1106" s="795"/>
    </row>
    <row r="1107" spans="4:5" hidden="1">
      <c r="D1107" s="795"/>
      <c r="E1107" s="795"/>
    </row>
    <row r="1108" spans="4:5" hidden="1">
      <c r="D1108" s="795"/>
      <c r="E1108" s="795"/>
    </row>
    <row r="1109" spans="4:5" hidden="1">
      <c r="D1109" s="795"/>
      <c r="E1109" s="795"/>
    </row>
    <row r="1110" spans="4:5" hidden="1">
      <c r="D1110" s="795"/>
      <c r="E1110" s="795"/>
    </row>
    <row r="1111" spans="4:5" hidden="1">
      <c r="D1111" s="795"/>
      <c r="E1111" s="795"/>
    </row>
    <row r="1112" spans="4:5" hidden="1">
      <c r="D1112" s="795"/>
      <c r="E1112" s="795"/>
    </row>
    <row r="1113" spans="4:5" hidden="1">
      <c r="D1113" s="795"/>
      <c r="E1113" s="795"/>
    </row>
    <row r="1114" spans="4:5" hidden="1">
      <c r="D1114" s="795"/>
      <c r="E1114" s="795"/>
    </row>
    <row r="1115" spans="4:5" hidden="1">
      <c r="D1115" s="795"/>
      <c r="E1115" s="795"/>
    </row>
    <row r="1116" spans="4:5" hidden="1">
      <c r="D1116" s="795"/>
      <c r="E1116" s="795"/>
    </row>
    <row r="1117" spans="4:5" hidden="1">
      <c r="D1117" s="795"/>
      <c r="E1117" s="795"/>
    </row>
    <row r="1118" spans="4:5" hidden="1">
      <c r="D1118" s="795"/>
      <c r="E1118" s="795"/>
    </row>
    <row r="1119" spans="4:5" hidden="1">
      <c r="D1119" s="795"/>
      <c r="E1119" s="795"/>
    </row>
    <row r="1120" spans="4:5" hidden="1">
      <c r="D1120" s="795"/>
      <c r="E1120" s="795"/>
    </row>
    <row r="1121" spans="4:5" hidden="1">
      <c r="D1121" s="795"/>
      <c r="E1121" s="795"/>
    </row>
    <row r="1122" spans="4:5" hidden="1">
      <c r="D1122" s="795"/>
      <c r="E1122" s="795"/>
    </row>
    <row r="1123" spans="4:5" hidden="1">
      <c r="D1123" s="795"/>
      <c r="E1123" s="795"/>
    </row>
    <row r="1124" spans="4:5" hidden="1">
      <c r="D1124" s="795"/>
      <c r="E1124" s="795"/>
    </row>
    <row r="1125" spans="4:5" hidden="1">
      <c r="D1125" s="795"/>
      <c r="E1125" s="795"/>
    </row>
    <row r="1126" spans="4:5" hidden="1">
      <c r="D1126" s="795"/>
      <c r="E1126" s="795"/>
    </row>
    <row r="1127" spans="4:5" hidden="1">
      <c r="D1127" s="795"/>
      <c r="E1127" s="795"/>
    </row>
    <row r="1128" spans="4:5" hidden="1">
      <c r="D1128" s="795"/>
      <c r="E1128" s="795"/>
    </row>
    <row r="1129" spans="4:5" hidden="1">
      <c r="D1129" s="795"/>
      <c r="E1129" s="795"/>
    </row>
    <row r="1130" spans="4:5" hidden="1">
      <c r="D1130" s="795"/>
      <c r="E1130" s="795"/>
    </row>
    <row r="1131" spans="4:5" hidden="1">
      <c r="D1131" s="795"/>
      <c r="E1131" s="795"/>
    </row>
    <row r="1132" spans="4:5" hidden="1">
      <c r="D1132" s="795"/>
      <c r="E1132" s="795"/>
    </row>
    <row r="1133" spans="4:5" hidden="1">
      <c r="D1133" s="795"/>
      <c r="E1133" s="795"/>
    </row>
    <row r="1134" spans="4:5" hidden="1">
      <c r="D1134" s="795"/>
      <c r="E1134" s="795"/>
    </row>
    <row r="1135" spans="4:5" hidden="1">
      <c r="D1135" s="795"/>
      <c r="E1135" s="795"/>
    </row>
    <row r="1136" spans="4:5" hidden="1">
      <c r="D1136" s="795"/>
      <c r="E1136" s="795"/>
    </row>
    <row r="1137" spans="4:5" hidden="1">
      <c r="D1137" s="795"/>
      <c r="E1137" s="795"/>
    </row>
    <row r="1138" spans="4:5" hidden="1">
      <c r="D1138" s="795"/>
      <c r="E1138" s="795"/>
    </row>
    <row r="1139" spans="4:5" hidden="1">
      <c r="D1139" s="795"/>
      <c r="E1139" s="795"/>
    </row>
    <row r="1140" spans="4:5" hidden="1">
      <c r="D1140" s="795"/>
      <c r="E1140" s="795"/>
    </row>
    <row r="1141" spans="4:5" hidden="1">
      <c r="D1141" s="795"/>
      <c r="E1141" s="795"/>
    </row>
    <row r="1142" spans="4:5" hidden="1">
      <c r="D1142" s="795"/>
      <c r="E1142" s="795"/>
    </row>
    <row r="1143" spans="4:5" hidden="1">
      <c r="D1143" s="795"/>
      <c r="E1143" s="795"/>
    </row>
    <row r="1144" spans="4:5" hidden="1">
      <c r="D1144" s="795"/>
      <c r="E1144" s="795"/>
    </row>
    <row r="1145" spans="4:5" hidden="1">
      <c r="D1145" s="795"/>
      <c r="E1145" s="795"/>
    </row>
    <row r="1146" spans="4:5" hidden="1">
      <c r="D1146" s="795"/>
      <c r="E1146" s="795"/>
    </row>
    <row r="1147" spans="4:5" hidden="1">
      <c r="D1147" s="795"/>
      <c r="E1147" s="795"/>
    </row>
    <row r="1148" spans="4:5" hidden="1">
      <c r="D1148" s="795"/>
      <c r="E1148" s="795"/>
    </row>
    <row r="1149" spans="4:5" hidden="1">
      <c r="D1149" s="795"/>
      <c r="E1149" s="795"/>
    </row>
    <row r="1150" spans="4:5" hidden="1">
      <c r="D1150" s="795"/>
      <c r="E1150" s="795"/>
    </row>
    <row r="1151" spans="4:5" hidden="1">
      <c r="D1151" s="795"/>
      <c r="E1151" s="795"/>
    </row>
    <row r="1152" spans="4:5" hidden="1">
      <c r="D1152" s="795"/>
      <c r="E1152" s="795"/>
    </row>
    <row r="1153" spans="4:5" hidden="1">
      <c r="D1153" s="795"/>
      <c r="E1153" s="795"/>
    </row>
    <row r="1154" spans="4:5" hidden="1">
      <c r="D1154" s="795"/>
      <c r="E1154" s="795"/>
    </row>
    <row r="1155" spans="4:5" hidden="1">
      <c r="D1155" s="795"/>
      <c r="E1155" s="795"/>
    </row>
    <row r="1156" spans="4:5" hidden="1">
      <c r="D1156" s="795"/>
      <c r="E1156" s="795"/>
    </row>
    <row r="1157" spans="4:5" hidden="1">
      <c r="D1157" s="795"/>
      <c r="E1157" s="795"/>
    </row>
    <row r="1158" spans="4:5" hidden="1">
      <c r="D1158" s="795"/>
      <c r="E1158" s="795"/>
    </row>
    <row r="1159" spans="4:5" hidden="1">
      <c r="D1159" s="795"/>
      <c r="E1159" s="795"/>
    </row>
    <row r="1160" spans="4:5" hidden="1">
      <c r="D1160" s="795"/>
      <c r="E1160" s="795"/>
    </row>
    <row r="1161" spans="4:5" hidden="1">
      <c r="D1161" s="795"/>
      <c r="E1161" s="795"/>
    </row>
    <row r="1162" spans="4:5" hidden="1">
      <c r="D1162" s="795"/>
      <c r="E1162" s="795"/>
    </row>
    <row r="1163" spans="4:5" hidden="1">
      <c r="D1163" s="795"/>
      <c r="E1163" s="795"/>
    </row>
    <row r="1164" spans="4:5" hidden="1">
      <c r="D1164" s="795"/>
      <c r="E1164" s="795"/>
    </row>
    <row r="1165" spans="4:5" hidden="1">
      <c r="D1165" s="795"/>
      <c r="E1165" s="795"/>
    </row>
    <row r="1166" spans="4:5" hidden="1">
      <c r="D1166" s="795"/>
      <c r="E1166" s="795"/>
    </row>
    <row r="1167" spans="4:5" hidden="1">
      <c r="D1167" s="795"/>
      <c r="E1167" s="795"/>
    </row>
    <row r="1168" spans="4:5" hidden="1">
      <c r="D1168" s="795"/>
      <c r="E1168" s="795"/>
    </row>
    <row r="1169" spans="4:5" hidden="1">
      <c r="D1169" s="795"/>
      <c r="E1169" s="795"/>
    </row>
    <row r="1170" spans="4:5" hidden="1">
      <c r="D1170" s="795"/>
      <c r="E1170" s="795"/>
    </row>
    <row r="1171" spans="4:5" hidden="1">
      <c r="D1171" s="795"/>
      <c r="E1171" s="795"/>
    </row>
    <row r="1172" spans="4:5" hidden="1">
      <c r="D1172" s="795"/>
      <c r="E1172" s="795"/>
    </row>
    <row r="1173" spans="4:5" hidden="1">
      <c r="D1173" s="795"/>
      <c r="E1173" s="795"/>
    </row>
    <row r="1174" spans="4:5" hidden="1">
      <c r="D1174" s="795"/>
      <c r="E1174" s="795"/>
    </row>
    <row r="1175" spans="4:5" hidden="1">
      <c r="D1175" s="795"/>
      <c r="E1175" s="795"/>
    </row>
    <row r="1176" spans="4:5" hidden="1">
      <c r="D1176" s="795"/>
      <c r="E1176" s="795"/>
    </row>
    <row r="1177" spans="4:5" hidden="1">
      <c r="D1177" s="795"/>
      <c r="E1177" s="795"/>
    </row>
    <row r="1178" spans="4:5" hidden="1">
      <c r="D1178" s="795"/>
      <c r="E1178" s="795"/>
    </row>
    <row r="1179" spans="4:5" hidden="1">
      <c r="D1179" s="795"/>
      <c r="E1179" s="795"/>
    </row>
    <row r="1180" spans="4:5" hidden="1">
      <c r="D1180" s="795"/>
      <c r="E1180" s="795"/>
    </row>
    <row r="1181" spans="4:5" hidden="1">
      <c r="D1181" s="795"/>
      <c r="E1181" s="795"/>
    </row>
    <row r="1182" spans="4:5" hidden="1">
      <c r="D1182" s="795"/>
      <c r="E1182" s="795"/>
    </row>
    <row r="1183" spans="4:5" hidden="1">
      <c r="D1183" s="795"/>
      <c r="E1183" s="795"/>
    </row>
    <row r="1184" spans="4:5" hidden="1">
      <c r="D1184" s="795"/>
      <c r="E1184" s="795"/>
    </row>
    <row r="1185" spans="4:5" hidden="1">
      <c r="D1185" s="795"/>
      <c r="E1185" s="795"/>
    </row>
    <row r="1186" spans="4:5" hidden="1">
      <c r="D1186" s="795"/>
      <c r="E1186" s="795"/>
    </row>
    <row r="1187" spans="4:5" hidden="1">
      <c r="D1187" s="795"/>
      <c r="E1187" s="795"/>
    </row>
    <row r="1188" spans="4:5" hidden="1">
      <c r="D1188" s="795"/>
      <c r="E1188" s="795"/>
    </row>
    <row r="1189" spans="4:5" hidden="1">
      <c r="D1189" s="795"/>
      <c r="E1189" s="795"/>
    </row>
    <row r="1190" spans="4:5" hidden="1">
      <c r="D1190" s="795"/>
      <c r="E1190" s="795"/>
    </row>
    <row r="1191" spans="4:5" hidden="1">
      <c r="D1191" s="795"/>
      <c r="E1191" s="795"/>
    </row>
    <row r="1192" spans="4:5" hidden="1">
      <c r="D1192" s="795"/>
      <c r="E1192" s="795"/>
    </row>
    <row r="1193" spans="4:5" hidden="1">
      <c r="D1193" s="795"/>
      <c r="E1193" s="795"/>
    </row>
    <row r="1194" spans="4:5" hidden="1">
      <c r="D1194" s="795"/>
      <c r="E1194" s="795"/>
    </row>
    <row r="1195" spans="4:5" hidden="1">
      <c r="D1195" s="795"/>
      <c r="E1195" s="795"/>
    </row>
    <row r="1196" spans="4:5" hidden="1">
      <c r="D1196" s="795"/>
      <c r="E1196" s="795"/>
    </row>
    <row r="1197" spans="4:5" hidden="1">
      <c r="D1197" s="795"/>
      <c r="E1197" s="795"/>
    </row>
    <row r="1198" spans="4:5" hidden="1">
      <c r="D1198" s="795"/>
      <c r="E1198" s="795"/>
    </row>
    <row r="1199" spans="4:5" hidden="1">
      <c r="D1199" s="795"/>
      <c r="E1199" s="795"/>
    </row>
    <row r="1200" spans="4:5" hidden="1">
      <c r="D1200" s="795"/>
      <c r="E1200" s="795"/>
    </row>
    <row r="1201" spans="4:5" hidden="1">
      <c r="D1201" s="795"/>
      <c r="E1201" s="795"/>
    </row>
    <row r="1202" spans="4:5" hidden="1">
      <c r="D1202" s="795"/>
      <c r="E1202" s="795"/>
    </row>
    <row r="1203" spans="4:5" hidden="1">
      <c r="D1203" s="795"/>
      <c r="E1203" s="795"/>
    </row>
    <row r="1204" spans="4:5" hidden="1">
      <c r="D1204" s="795"/>
      <c r="E1204" s="795"/>
    </row>
    <row r="1205" spans="4:5" hidden="1">
      <c r="D1205" s="795"/>
      <c r="E1205" s="795"/>
    </row>
    <row r="1206" spans="4:5" hidden="1">
      <c r="D1206" s="795"/>
      <c r="E1206" s="795"/>
    </row>
    <row r="1207" spans="4:5" hidden="1">
      <c r="D1207" s="795"/>
      <c r="E1207" s="795"/>
    </row>
    <row r="1208" spans="4:5" hidden="1">
      <c r="D1208" s="795"/>
      <c r="E1208" s="795"/>
    </row>
    <row r="1209" spans="4:5" hidden="1">
      <c r="D1209" s="795"/>
      <c r="E1209" s="795"/>
    </row>
    <row r="1210" spans="4:5" hidden="1">
      <c r="D1210" s="795"/>
      <c r="E1210" s="795"/>
    </row>
    <row r="1211" spans="4:5" hidden="1">
      <c r="D1211" s="795"/>
      <c r="E1211" s="795"/>
    </row>
    <row r="1212" spans="4:5" hidden="1">
      <c r="D1212" s="795"/>
      <c r="E1212" s="795"/>
    </row>
    <row r="1213" spans="4:5" hidden="1">
      <c r="D1213" s="795"/>
      <c r="E1213" s="795"/>
    </row>
    <row r="1214" spans="4:5" hidden="1">
      <c r="D1214" s="795"/>
      <c r="E1214" s="795"/>
    </row>
    <row r="1215" spans="4:5" hidden="1">
      <c r="D1215" s="795"/>
      <c r="E1215" s="795"/>
    </row>
    <row r="1216" spans="4:5" hidden="1">
      <c r="D1216" s="795"/>
      <c r="E1216" s="795"/>
    </row>
    <row r="1217" spans="4:5" hidden="1">
      <c r="D1217" s="795"/>
      <c r="E1217" s="795"/>
    </row>
    <row r="1218" spans="4:5" hidden="1">
      <c r="D1218" s="795"/>
      <c r="E1218" s="795"/>
    </row>
    <row r="1219" spans="4:5" hidden="1">
      <c r="D1219" s="795"/>
      <c r="E1219" s="795"/>
    </row>
    <row r="1220" spans="4:5" hidden="1">
      <c r="D1220" s="795"/>
      <c r="E1220" s="795"/>
    </row>
    <row r="1221" spans="4:5" hidden="1">
      <c r="D1221" s="795"/>
      <c r="E1221" s="795"/>
    </row>
    <row r="1222" spans="4:5" hidden="1">
      <c r="D1222" s="795"/>
      <c r="E1222" s="795"/>
    </row>
    <row r="1223" spans="4:5" hidden="1">
      <c r="D1223" s="795"/>
      <c r="E1223" s="795"/>
    </row>
    <row r="1224" spans="4:5" hidden="1">
      <c r="D1224" s="795"/>
      <c r="E1224" s="795"/>
    </row>
    <row r="1225" spans="4:5" hidden="1">
      <c r="D1225" s="795"/>
      <c r="E1225" s="795"/>
    </row>
    <row r="1226" spans="4:5" hidden="1">
      <c r="D1226" s="795"/>
      <c r="E1226" s="795"/>
    </row>
    <row r="1227" spans="4:5" hidden="1">
      <c r="D1227" s="795"/>
      <c r="E1227" s="795"/>
    </row>
    <row r="1228" spans="4:5" hidden="1">
      <c r="D1228" s="795"/>
      <c r="E1228" s="795"/>
    </row>
    <row r="1229" spans="4:5" hidden="1">
      <c r="D1229" s="795"/>
      <c r="E1229" s="795"/>
    </row>
    <row r="1230" spans="4:5" hidden="1">
      <c r="D1230" s="795"/>
      <c r="E1230" s="795"/>
    </row>
    <row r="1231" spans="4:5" hidden="1">
      <c r="D1231" s="795"/>
      <c r="E1231" s="795"/>
    </row>
    <row r="1232" spans="4:5" hidden="1">
      <c r="D1232" s="795"/>
      <c r="E1232" s="795"/>
    </row>
    <row r="1233" spans="4:5" hidden="1">
      <c r="D1233" s="795"/>
      <c r="E1233" s="795"/>
    </row>
    <row r="1234" spans="4:5" hidden="1">
      <c r="D1234" s="795"/>
      <c r="E1234" s="795"/>
    </row>
    <row r="1235" spans="4:5" hidden="1">
      <c r="D1235" s="795"/>
      <c r="E1235" s="795"/>
    </row>
    <row r="1236" spans="4:5" hidden="1">
      <c r="D1236" s="795"/>
      <c r="E1236" s="795"/>
    </row>
    <row r="1237" spans="4:5" hidden="1">
      <c r="D1237" s="795"/>
      <c r="E1237" s="795"/>
    </row>
    <row r="1238" spans="4:5" hidden="1">
      <c r="D1238" s="795"/>
      <c r="E1238" s="795"/>
    </row>
    <row r="1239" spans="4:5" hidden="1">
      <c r="D1239" s="795"/>
      <c r="E1239" s="795"/>
    </row>
    <row r="1240" spans="4:5" hidden="1">
      <c r="D1240" s="795"/>
      <c r="E1240" s="795"/>
    </row>
    <row r="1241" spans="4:5" hidden="1">
      <c r="D1241" s="795"/>
      <c r="E1241" s="795"/>
    </row>
    <row r="1242" spans="4:5" hidden="1">
      <c r="D1242" s="795"/>
      <c r="E1242" s="795"/>
    </row>
    <row r="1243" spans="4:5" hidden="1">
      <c r="D1243" s="795"/>
      <c r="E1243" s="795"/>
    </row>
    <row r="1244" spans="4:5" hidden="1">
      <c r="D1244" s="795"/>
      <c r="E1244" s="795"/>
    </row>
    <row r="1245" spans="4:5" hidden="1">
      <c r="D1245" s="795"/>
      <c r="E1245" s="795"/>
    </row>
    <row r="1246" spans="4:5" hidden="1">
      <c r="D1246" s="795"/>
      <c r="E1246" s="795"/>
    </row>
    <row r="1247" spans="4:5" hidden="1">
      <c r="D1247" s="795"/>
      <c r="E1247" s="795"/>
    </row>
    <row r="1248" spans="4:5" hidden="1">
      <c r="D1248" s="795"/>
      <c r="E1248" s="795"/>
    </row>
    <row r="1249" spans="4:5" hidden="1">
      <c r="D1249" s="795"/>
      <c r="E1249" s="795"/>
    </row>
    <row r="1250" spans="4:5" hidden="1">
      <c r="D1250" s="795"/>
      <c r="E1250" s="795"/>
    </row>
    <row r="1251" spans="4:5" hidden="1">
      <c r="D1251" s="795"/>
      <c r="E1251" s="795"/>
    </row>
    <row r="1252" spans="4:5" hidden="1">
      <c r="D1252" s="795"/>
      <c r="E1252" s="795"/>
    </row>
    <row r="1253" spans="4:5" hidden="1">
      <c r="D1253" s="795"/>
      <c r="E1253" s="795"/>
    </row>
    <row r="1254" spans="4:5" hidden="1">
      <c r="D1254" s="795"/>
      <c r="E1254" s="795"/>
    </row>
    <row r="1255" spans="4:5" hidden="1">
      <c r="D1255" s="795"/>
      <c r="E1255" s="795"/>
    </row>
    <row r="1256" spans="4:5" hidden="1">
      <c r="D1256" s="795"/>
      <c r="E1256" s="795"/>
    </row>
    <row r="1257" spans="4:5" hidden="1">
      <c r="D1257" s="795"/>
      <c r="E1257" s="795"/>
    </row>
    <row r="1258" spans="4:5" hidden="1">
      <c r="D1258" s="795"/>
      <c r="E1258" s="795"/>
    </row>
    <row r="1259" spans="4:5" hidden="1">
      <c r="D1259" s="795"/>
      <c r="E1259" s="795"/>
    </row>
    <row r="1260" spans="4:5" hidden="1">
      <c r="D1260" s="795"/>
      <c r="E1260" s="795"/>
    </row>
    <row r="1261" spans="4:5" hidden="1">
      <c r="D1261" s="795"/>
      <c r="E1261" s="795"/>
    </row>
    <row r="1262" spans="4:5" hidden="1">
      <c r="D1262" s="795"/>
      <c r="E1262" s="795"/>
    </row>
    <row r="1263" spans="4:5" hidden="1">
      <c r="D1263" s="795"/>
      <c r="E1263" s="795"/>
    </row>
    <row r="1264" spans="4:5" hidden="1">
      <c r="D1264" s="795"/>
      <c r="E1264" s="795"/>
    </row>
    <row r="1265" spans="4:5" hidden="1">
      <c r="D1265" s="795"/>
      <c r="E1265" s="795"/>
    </row>
    <row r="1266" spans="4:5" hidden="1">
      <c r="D1266" s="795"/>
      <c r="E1266" s="795"/>
    </row>
    <row r="1267" spans="4:5" hidden="1">
      <c r="D1267" s="795"/>
      <c r="E1267" s="795"/>
    </row>
    <row r="1268" spans="4:5" hidden="1">
      <c r="D1268" s="795"/>
      <c r="E1268" s="795"/>
    </row>
    <row r="1269" spans="4:5" hidden="1">
      <c r="D1269" s="795"/>
      <c r="E1269" s="795"/>
    </row>
    <row r="1270" spans="4:5" hidden="1">
      <c r="D1270" s="795"/>
      <c r="E1270" s="795"/>
    </row>
    <row r="1271" spans="4:5" hidden="1">
      <c r="D1271" s="795"/>
      <c r="E1271" s="795"/>
    </row>
    <row r="1272" spans="4:5" hidden="1">
      <c r="D1272" s="795"/>
      <c r="E1272" s="795"/>
    </row>
    <row r="1273" spans="4:5" hidden="1">
      <c r="D1273" s="795"/>
      <c r="E1273" s="795"/>
    </row>
    <row r="1274" spans="4:5" hidden="1">
      <c r="D1274" s="795"/>
      <c r="E1274" s="795"/>
    </row>
    <row r="1275" spans="4:5" hidden="1">
      <c r="D1275" s="795"/>
      <c r="E1275" s="795"/>
    </row>
    <row r="1276" spans="4:5" hidden="1">
      <c r="D1276" s="795"/>
      <c r="E1276" s="795"/>
    </row>
    <row r="1277" spans="4:5" hidden="1">
      <c r="D1277" s="795"/>
      <c r="E1277" s="795"/>
    </row>
    <row r="1278" spans="4:5" hidden="1">
      <c r="D1278" s="795"/>
      <c r="E1278" s="795"/>
    </row>
    <row r="1279" spans="4:5" hidden="1">
      <c r="D1279" s="795"/>
      <c r="E1279" s="795"/>
    </row>
    <row r="1280" spans="4:5" hidden="1">
      <c r="D1280" s="795"/>
      <c r="E1280" s="795"/>
    </row>
    <row r="1281" spans="4:5" hidden="1">
      <c r="D1281" s="795"/>
      <c r="E1281" s="795"/>
    </row>
    <row r="1282" spans="4:5" hidden="1">
      <c r="D1282" s="795"/>
      <c r="E1282" s="795"/>
    </row>
    <row r="1283" spans="4:5" hidden="1">
      <c r="D1283" s="795"/>
      <c r="E1283" s="795"/>
    </row>
    <row r="1284" spans="4:5" hidden="1">
      <c r="D1284" s="795"/>
      <c r="E1284" s="795"/>
    </row>
    <row r="1285" spans="4:5" hidden="1">
      <c r="D1285" s="795"/>
      <c r="E1285" s="795"/>
    </row>
    <row r="1286" spans="4:5" hidden="1">
      <c r="D1286" s="795"/>
      <c r="E1286" s="795"/>
    </row>
    <row r="1287" spans="4:5" hidden="1">
      <c r="D1287" s="795"/>
      <c r="E1287" s="795"/>
    </row>
    <row r="1288" spans="4:5" hidden="1">
      <c r="D1288" s="795"/>
      <c r="E1288" s="795"/>
    </row>
    <row r="1289" spans="4:5" hidden="1">
      <c r="D1289" s="795"/>
      <c r="E1289" s="795"/>
    </row>
    <row r="1290" spans="4:5" hidden="1">
      <c r="D1290" s="795"/>
      <c r="E1290" s="795"/>
    </row>
    <row r="1291" spans="4:5" hidden="1">
      <c r="D1291" s="795"/>
      <c r="E1291" s="795"/>
    </row>
    <row r="1292" spans="4:5" hidden="1">
      <c r="D1292" s="795"/>
      <c r="E1292" s="795"/>
    </row>
    <row r="1293" spans="4:5" hidden="1">
      <c r="D1293" s="795"/>
      <c r="E1293" s="795"/>
    </row>
    <row r="1294" spans="4:5" hidden="1">
      <c r="D1294" s="795"/>
      <c r="E1294" s="795"/>
    </row>
    <row r="1295" spans="4:5" hidden="1">
      <c r="D1295" s="795"/>
      <c r="E1295" s="795"/>
    </row>
    <row r="1296" spans="4:5" hidden="1">
      <c r="D1296" s="795"/>
      <c r="E1296" s="795"/>
    </row>
    <row r="1297" spans="4:5" hidden="1">
      <c r="D1297" s="795"/>
      <c r="E1297" s="795"/>
    </row>
    <row r="1298" spans="4:5" hidden="1">
      <c r="D1298" s="795"/>
      <c r="E1298" s="795"/>
    </row>
    <row r="1299" spans="4:5" hidden="1">
      <c r="D1299" s="795"/>
      <c r="E1299" s="795"/>
    </row>
    <row r="1300" spans="4:5" hidden="1">
      <c r="D1300" s="795"/>
      <c r="E1300" s="795"/>
    </row>
    <row r="1301" spans="4:5" hidden="1">
      <c r="D1301" s="795"/>
      <c r="E1301" s="795"/>
    </row>
    <row r="1302" spans="4:5" hidden="1">
      <c r="D1302" s="795"/>
      <c r="E1302" s="795"/>
    </row>
    <row r="1303" spans="4:5" hidden="1">
      <c r="D1303" s="795"/>
      <c r="E1303" s="795"/>
    </row>
    <row r="1304" spans="4:5" hidden="1">
      <c r="D1304" s="795"/>
      <c r="E1304" s="795"/>
    </row>
    <row r="1305" spans="4:5" hidden="1">
      <c r="D1305" s="795"/>
      <c r="E1305" s="795"/>
    </row>
    <row r="1306" spans="4:5" hidden="1">
      <c r="D1306" s="795"/>
      <c r="E1306" s="795"/>
    </row>
    <row r="1307" spans="4:5" hidden="1">
      <c r="D1307" s="795"/>
      <c r="E1307" s="795"/>
    </row>
    <row r="1308" spans="4:5" hidden="1">
      <c r="D1308" s="795"/>
      <c r="E1308" s="795"/>
    </row>
    <row r="1309" spans="4:5" hidden="1">
      <c r="D1309" s="795"/>
      <c r="E1309" s="795"/>
    </row>
    <row r="1310" spans="4:5" hidden="1">
      <c r="D1310" s="795"/>
      <c r="E1310" s="795"/>
    </row>
    <row r="1311" spans="4:5" hidden="1">
      <c r="D1311" s="795"/>
      <c r="E1311" s="795"/>
    </row>
    <row r="1312" spans="4:5" hidden="1">
      <c r="D1312" s="795"/>
      <c r="E1312" s="795"/>
    </row>
    <row r="1313" spans="4:5" hidden="1">
      <c r="D1313" s="795"/>
      <c r="E1313" s="795"/>
    </row>
    <row r="1314" spans="4:5" hidden="1">
      <c r="D1314" s="795"/>
      <c r="E1314" s="795"/>
    </row>
    <row r="1315" spans="4:5" hidden="1">
      <c r="D1315" s="795"/>
      <c r="E1315" s="795"/>
    </row>
    <row r="1316" spans="4:5" hidden="1">
      <c r="D1316" s="795"/>
      <c r="E1316" s="795"/>
    </row>
    <row r="1317" spans="4:5" hidden="1">
      <c r="D1317" s="795"/>
      <c r="E1317" s="795"/>
    </row>
    <row r="1318" spans="4:5" hidden="1">
      <c r="D1318" s="795"/>
      <c r="E1318" s="795"/>
    </row>
    <row r="1319" spans="4:5" hidden="1">
      <c r="D1319" s="795"/>
      <c r="E1319" s="795"/>
    </row>
    <row r="1320" spans="4:5" hidden="1">
      <c r="D1320" s="795"/>
      <c r="E1320" s="795"/>
    </row>
    <row r="1321" spans="4:5" hidden="1">
      <c r="D1321" s="795"/>
      <c r="E1321" s="795"/>
    </row>
    <row r="1322" spans="4:5" hidden="1">
      <c r="D1322" s="795"/>
      <c r="E1322" s="795"/>
    </row>
    <row r="1323" spans="4:5" hidden="1">
      <c r="D1323" s="795"/>
      <c r="E1323" s="795"/>
    </row>
    <row r="1324" spans="4:5" hidden="1">
      <c r="D1324" s="795"/>
      <c r="E1324" s="795"/>
    </row>
    <row r="1325" spans="4:5" hidden="1">
      <c r="D1325" s="795"/>
      <c r="E1325" s="795"/>
    </row>
    <row r="1326" spans="4:5" hidden="1">
      <c r="D1326" s="795"/>
      <c r="E1326" s="795"/>
    </row>
    <row r="1327" spans="4:5" hidden="1">
      <c r="D1327" s="795"/>
      <c r="E1327" s="795"/>
    </row>
    <row r="1328" spans="4:5" hidden="1">
      <c r="D1328" s="795"/>
      <c r="E1328" s="795"/>
    </row>
    <row r="1329" spans="4:5" hidden="1">
      <c r="D1329" s="795"/>
      <c r="E1329" s="795"/>
    </row>
    <row r="1330" spans="4:5" hidden="1">
      <c r="D1330" s="795"/>
      <c r="E1330" s="795"/>
    </row>
    <row r="1331" spans="4:5" hidden="1">
      <c r="D1331" s="795"/>
      <c r="E1331" s="795"/>
    </row>
    <row r="1332" spans="4:5" hidden="1">
      <c r="D1332" s="795"/>
      <c r="E1332" s="795"/>
    </row>
    <row r="1333" spans="4:5" hidden="1">
      <c r="D1333" s="795"/>
      <c r="E1333" s="795"/>
    </row>
    <row r="1334" spans="4:5" hidden="1">
      <c r="D1334" s="795"/>
      <c r="E1334" s="795"/>
    </row>
    <row r="1335" spans="4:5" hidden="1">
      <c r="D1335" s="795"/>
      <c r="E1335" s="795"/>
    </row>
    <row r="1336" spans="4:5" hidden="1">
      <c r="D1336" s="795"/>
      <c r="E1336" s="795"/>
    </row>
    <row r="1337" spans="4:5" hidden="1">
      <c r="D1337" s="795"/>
      <c r="E1337" s="795"/>
    </row>
    <row r="1338" spans="4:5" hidden="1">
      <c r="D1338" s="795"/>
      <c r="E1338" s="795"/>
    </row>
    <row r="1339" spans="4:5" hidden="1">
      <c r="D1339" s="795"/>
      <c r="E1339" s="795"/>
    </row>
    <row r="1340" spans="4:5" hidden="1">
      <c r="D1340" s="795"/>
      <c r="E1340" s="795"/>
    </row>
    <row r="1341" spans="4:5" hidden="1">
      <c r="D1341" s="795"/>
      <c r="E1341" s="795"/>
    </row>
    <row r="1342" spans="4:5" hidden="1">
      <c r="D1342" s="795"/>
      <c r="E1342" s="795"/>
    </row>
    <row r="1343" spans="4:5" hidden="1">
      <c r="D1343" s="795"/>
      <c r="E1343" s="795"/>
    </row>
    <row r="1344" spans="4:5" hidden="1">
      <c r="D1344" s="795"/>
      <c r="E1344" s="795"/>
    </row>
    <row r="1345" spans="4:5" hidden="1">
      <c r="D1345" s="795"/>
      <c r="E1345" s="795"/>
    </row>
    <row r="1346" spans="4:5" hidden="1">
      <c r="D1346" s="795"/>
      <c r="E1346" s="795"/>
    </row>
    <row r="1347" spans="4:5" hidden="1">
      <c r="D1347" s="795"/>
      <c r="E1347" s="795"/>
    </row>
    <row r="1348" spans="4:5" hidden="1">
      <c r="D1348" s="795"/>
      <c r="E1348" s="795"/>
    </row>
    <row r="1349" spans="4:5" hidden="1">
      <c r="D1349" s="795"/>
      <c r="E1349" s="795"/>
    </row>
    <row r="1350" spans="4:5" hidden="1">
      <c r="D1350" s="795"/>
      <c r="E1350" s="795"/>
    </row>
    <row r="1351" spans="4:5" hidden="1">
      <c r="D1351" s="795"/>
      <c r="E1351" s="795"/>
    </row>
    <row r="1352" spans="4:5" hidden="1">
      <c r="D1352" s="795"/>
      <c r="E1352" s="795"/>
    </row>
    <row r="1353" spans="4:5" hidden="1">
      <c r="D1353" s="795"/>
      <c r="E1353" s="795"/>
    </row>
    <row r="1354" spans="4:5" hidden="1">
      <c r="D1354" s="795"/>
      <c r="E1354" s="795"/>
    </row>
    <row r="1355" spans="4:5" hidden="1">
      <c r="D1355" s="795"/>
      <c r="E1355" s="795"/>
    </row>
    <row r="1356" spans="4:5" hidden="1">
      <c r="D1356" s="795"/>
      <c r="E1356" s="795"/>
    </row>
    <row r="1357" spans="4:5" hidden="1">
      <c r="D1357" s="795"/>
      <c r="E1357" s="795"/>
    </row>
    <row r="1358" spans="4:5" hidden="1">
      <c r="D1358" s="795"/>
      <c r="E1358" s="795"/>
    </row>
    <row r="1359" spans="4:5" hidden="1">
      <c r="D1359" s="795"/>
      <c r="E1359" s="795"/>
    </row>
    <row r="1360" spans="4:5" hidden="1">
      <c r="D1360" s="795"/>
      <c r="E1360" s="795"/>
    </row>
    <row r="1361" spans="4:5" hidden="1">
      <c r="D1361" s="795"/>
      <c r="E1361" s="795"/>
    </row>
    <row r="1362" spans="4:5" hidden="1">
      <c r="D1362" s="795"/>
      <c r="E1362" s="795"/>
    </row>
    <row r="1363" spans="4:5" hidden="1">
      <c r="D1363" s="795"/>
      <c r="E1363" s="795"/>
    </row>
    <row r="1364" spans="4:5" hidden="1">
      <c r="D1364" s="795"/>
      <c r="E1364" s="795"/>
    </row>
    <row r="1365" spans="4:5" hidden="1">
      <c r="D1365" s="795"/>
      <c r="E1365" s="795"/>
    </row>
    <row r="1366" spans="4:5" hidden="1">
      <c r="D1366" s="795"/>
      <c r="E1366" s="795"/>
    </row>
    <row r="1367" spans="4:5" hidden="1">
      <c r="D1367" s="795"/>
      <c r="E1367" s="795"/>
    </row>
    <row r="1368" spans="4:5" hidden="1">
      <c r="D1368" s="795"/>
      <c r="E1368" s="795"/>
    </row>
    <row r="1369" spans="4:5" hidden="1">
      <c r="D1369" s="795"/>
      <c r="E1369" s="795"/>
    </row>
    <row r="1370" spans="4:5" hidden="1">
      <c r="D1370" s="795"/>
      <c r="E1370" s="795"/>
    </row>
    <row r="1371" spans="4:5" hidden="1">
      <c r="D1371" s="795"/>
      <c r="E1371" s="795"/>
    </row>
    <row r="1372" spans="4:5" hidden="1">
      <c r="D1372" s="795"/>
      <c r="E1372" s="795"/>
    </row>
    <row r="1373" spans="4:5" hidden="1">
      <c r="D1373" s="795"/>
      <c r="E1373" s="795"/>
    </row>
    <row r="1374" spans="4:5" hidden="1">
      <c r="D1374" s="795"/>
      <c r="E1374" s="795"/>
    </row>
    <row r="1375" spans="4:5" hidden="1">
      <c r="D1375" s="795"/>
      <c r="E1375" s="795"/>
    </row>
    <row r="1376" spans="4:5" hidden="1">
      <c r="D1376" s="795"/>
      <c r="E1376" s="795"/>
    </row>
    <row r="1377" spans="4:5" hidden="1">
      <c r="D1377" s="795"/>
      <c r="E1377" s="795"/>
    </row>
    <row r="1378" spans="4:5" hidden="1">
      <c r="D1378" s="795"/>
      <c r="E1378" s="795"/>
    </row>
    <row r="1379" spans="4:5" hidden="1">
      <c r="D1379" s="795"/>
      <c r="E1379" s="795"/>
    </row>
    <row r="1380" spans="4:5" hidden="1">
      <c r="D1380" s="795"/>
      <c r="E1380" s="795"/>
    </row>
    <row r="1381" spans="4:5" hidden="1">
      <c r="D1381" s="795"/>
      <c r="E1381" s="795"/>
    </row>
    <row r="1382" spans="4:5" hidden="1">
      <c r="D1382" s="795"/>
      <c r="E1382" s="795"/>
    </row>
    <row r="1383" spans="4:5" hidden="1">
      <c r="D1383" s="795"/>
      <c r="E1383" s="795"/>
    </row>
    <row r="1384" spans="4:5" hidden="1">
      <c r="D1384" s="795"/>
      <c r="E1384" s="795"/>
    </row>
    <row r="1385" spans="4:5" hidden="1">
      <c r="D1385" s="795"/>
      <c r="E1385" s="795"/>
    </row>
    <row r="1386" spans="4:5" hidden="1">
      <c r="D1386" s="795"/>
      <c r="E1386" s="795"/>
    </row>
    <row r="1387" spans="4:5" hidden="1">
      <c r="D1387" s="795"/>
      <c r="E1387" s="795"/>
    </row>
    <row r="1388" spans="4:5" hidden="1">
      <c r="D1388" s="795"/>
      <c r="E1388" s="795"/>
    </row>
    <row r="1389" spans="4:5" hidden="1">
      <c r="D1389" s="795"/>
      <c r="E1389" s="795"/>
    </row>
    <row r="1390" spans="4:5" hidden="1">
      <c r="D1390" s="795"/>
      <c r="E1390" s="795"/>
    </row>
    <row r="1391" spans="4:5" hidden="1">
      <c r="D1391" s="795"/>
      <c r="E1391" s="795"/>
    </row>
    <row r="1392" spans="4:5" hidden="1">
      <c r="D1392" s="795"/>
      <c r="E1392" s="795"/>
    </row>
    <row r="1393" spans="4:5" hidden="1">
      <c r="D1393" s="795"/>
      <c r="E1393" s="795"/>
    </row>
    <row r="1394" spans="4:5" hidden="1">
      <c r="D1394" s="795"/>
      <c r="E1394" s="795"/>
    </row>
    <row r="1395" spans="4:5" hidden="1">
      <c r="D1395" s="795"/>
      <c r="E1395" s="795"/>
    </row>
    <row r="1396" spans="4:5" hidden="1">
      <c r="D1396" s="795"/>
      <c r="E1396" s="795"/>
    </row>
    <row r="1397" spans="4:5" hidden="1">
      <c r="D1397" s="795"/>
      <c r="E1397" s="795"/>
    </row>
    <row r="1398" spans="4:5" hidden="1">
      <c r="D1398" s="795"/>
      <c r="E1398" s="795"/>
    </row>
    <row r="1399" spans="4:5" hidden="1">
      <c r="D1399" s="795"/>
      <c r="E1399" s="795"/>
    </row>
    <row r="1400" spans="4:5" hidden="1">
      <c r="D1400" s="795"/>
      <c r="E1400" s="795"/>
    </row>
    <row r="1401" spans="4:5" hidden="1">
      <c r="D1401" s="795"/>
      <c r="E1401" s="795"/>
    </row>
    <row r="1402" spans="4:5" hidden="1">
      <c r="D1402" s="795"/>
      <c r="E1402" s="795"/>
    </row>
    <row r="1403" spans="4:5" hidden="1">
      <c r="D1403" s="795"/>
      <c r="E1403" s="795"/>
    </row>
    <row r="1404" spans="4:5" hidden="1">
      <c r="D1404" s="795"/>
      <c r="E1404" s="795"/>
    </row>
    <row r="1405" spans="4:5" hidden="1">
      <c r="D1405" s="795"/>
      <c r="E1405" s="795"/>
    </row>
    <row r="1406" spans="4:5" hidden="1">
      <c r="D1406" s="795"/>
      <c r="E1406" s="795"/>
    </row>
    <row r="1407" spans="4:5" hidden="1">
      <c r="D1407" s="795"/>
      <c r="E1407" s="795"/>
    </row>
    <row r="1408" spans="4:5" hidden="1">
      <c r="D1408" s="795"/>
      <c r="E1408" s="795"/>
    </row>
    <row r="1409" spans="4:5" hidden="1">
      <c r="D1409" s="795"/>
      <c r="E1409" s="795"/>
    </row>
    <row r="1410" spans="4:5" hidden="1">
      <c r="D1410" s="795"/>
      <c r="E1410" s="795"/>
    </row>
    <row r="1411" spans="4:5" hidden="1">
      <c r="D1411" s="795"/>
      <c r="E1411" s="795"/>
    </row>
    <row r="1412" spans="4:5" hidden="1">
      <c r="D1412" s="795"/>
      <c r="E1412" s="795"/>
    </row>
    <row r="1413" spans="4:5" hidden="1">
      <c r="D1413" s="795"/>
      <c r="E1413" s="795"/>
    </row>
    <row r="1414" spans="4:5" hidden="1">
      <c r="D1414" s="795"/>
      <c r="E1414" s="795"/>
    </row>
    <row r="1415" spans="4:5" hidden="1">
      <c r="D1415" s="795"/>
      <c r="E1415" s="795"/>
    </row>
    <row r="1416" spans="4:5" hidden="1">
      <c r="D1416" s="795"/>
      <c r="E1416" s="795"/>
    </row>
    <row r="1417" spans="4:5" hidden="1">
      <c r="D1417" s="795"/>
      <c r="E1417" s="795"/>
    </row>
    <row r="1418" spans="4:5" hidden="1">
      <c r="D1418" s="795"/>
      <c r="E1418" s="795"/>
    </row>
    <row r="1419" spans="4:5" hidden="1">
      <c r="D1419" s="795"/>
      <c r="E1419" s="795"/>
    </row>
    <row r="1420" spans="4:5" hidden="1">
      <c r="D1420" s="795"/>
      <c r="E1420" s="795"/>
    </row>
    <row r="1421" spans="4:5" hidden="1">
      <c r="D1421" s="795"/>
      <c r="E1421" s="795"/>
    </row>
    <row r="1422" spans="4:5" hidden="1">
      <c r="D1422" s="795"/>
      <c r="E1422" s="795"/>
    </row>
    <row r="1423" spans="4:5" hidden="1">
      <c r="D1423" s="795"/>
      <c r="E1423" s="795"/>
    </row>
    <row r="1424" spans="4:5" hidden="1">
      <c r="D1424" s="795"/>
      <c r="E1424" s="795"/>
    </row>
    <row r="1425" spans="4:5" hidden="1">
      <c r="D1425" s="795"/>
      <c r="E1425" s="795"/>
    </row>
    <row r="1426" spans="4:5" hidden="1">
      <c r="D1426" s="795"/>
      <c r="E1426" s="795"/>
    </row>
    <row r="1427" spans="4:5" hidden="1">
      <c r="D1427" s="795"/>
      <c r="E1427" s="795"/>
    </row>
    <row r="1428" spans="4:5" hidden="1">
      <c r="D1428" s="795"/>
      <c r="E1428" s="795"/>
    </row>
    <row r="1429" spans="4:5" hidden="1">
      <c r="D1429" s="795"/>
      <c r="E1429" s="795"/>
    </row>
    <row r="1430" spans="4:5" hidden="1">
      <c r="D1430" s="795"/>
      <c r="E1430" s="795"/>
    </row>
    <row r="1431" spans="4:5" hidden="1">
      <c r="D1431" s="795"/>
      <c r="E1431" s="795"/>
    </row>
    <row r="1432" spans="4:5" hidden="1">
      <c r="D1432" s="795"/>
      <c r="E1432" s="795"/>
    </row>
    <row r="1433" spans="4:5" hidden="1">
      <c r="D1433" s="795"/>
      <c r="E1433" s="795"/>
    </row>
    <row r="1434" spans="4:5" hidden="1">
      <c r="D1434" s="795"/>
      <c r="E1434" s="795"/>
    </row>
    <row r="1435" spans="4:5" hidden="1">
      <c r="D1435" s="795"/>
      <c r="E1435" s="795"/>
    </row>
    <row r="1436" spans="4:5" hidden="1">
      <c r="D1436" s="795"/>
      <c r="E1436" s="795"/>
    </row>
    <row r="1437" spans="4:5" hidden="1">
      <c r="D1437" s="795"/>
      <c r="E1437" s="795"/>
    </row>
    <row r="1438" spans="4:5" hidden="1">
      <c r="D1438" s="795"/>
      <c r="E1438" s="795"/>
    </row>
    <row r="1439" spans="4:5" hidden="1">
      <c r="D1439" s="795"/>
      <c r="E1439" s="795"/>
    </row>
    <row r="1440" spans="4:5" hidden="1">
      <c r="D1440" s="795"/>
      <c r="E1440" s="795"/>
    </row>
    <row r="1441" spans="4:5" hidden="1">
      <c r="D1441" s="795"/>
      <c r="E1441" s="795"/>
    </row>
    <row r="1442" spans="4:5" hidden="1">
      <c r="D1442" s="795"/>
      <c r="E1442" s="795"/>
    </row>
    <row r="1443" spans="4:5" hidden="1">
      <c r="D1443" s="795"/>
      <c r="E1443" s="795"/>
    </row>
    <row r="1444" spans="4:5" hidden="1">
      <c r="D1444" s="795"/>
      <c r="E1444" s="795"/>
    </row>
    <row r="1445" spans="4:5" hidden="1">
      <c r="D1445" s="795"/>
      <c r="E1445" s="795"/>
    </row>
    <row r="1446" spans="4:5" hidden="1">
      <c r="D1446" s="795"/>
      <c r="E1446" s="795"/>
    </row>
    <row r="1447" spans="4:5" hidden="1">
      <c r="D1447" s="795"/>
      <c r="E1447" s="795"/>
    </row>
    <row r="1448" spans="4:5" hidden="1">
      <c r="D1448" s="795"/>
      <c r="E1448" s="795"/>
    </row>
    <row r="1449" spans="4:5" hidden="1">
      <c r="D1449" s="795"/>
      <c r="E1449" s="795"/>
    </row>
    <row r="1450" spans="4:5" hidden="1">
      <c r="D1450" s="795"/>
      <c r="E1450" s="795"/>
    </row>
    <row r="1451" spans="4:5" hidden="1">
      <c r="D1451" s="795"/>
      <c r="E1451" s="795"/>
    </row>
    <row r="1452" spans="4:5" hidden="1">
      <c r="D1452" s="795"/>
      <c r="E1452" s="795"/>
    </row>
    <row r="1453" spans="4:5" hidden="1">
      <c r="D1453" s="795"/>
      <c r="E1453" s="795"/>
    </row>
    <row r="1454" spans="4:5" hidden="1">
      <c r="D1454" s="795"/>
      <c r="E1454" s="795"/>
    </row>
    <row r="1455" spans="4:5" hidden="1">
      <c r="D1455" s="795"/>
      <c r="E1455" s="795"/>
    </row>
    <row r="1456" spans="4:5" hidden="1">
      <c r="D1456" s="795"/>
      <c r="E1456" s="795"/>
    </row>
    <row r="1457" spans="4:5" hidden="1">
      <c r="D1457" s="795"/>
      <c r="E1457" s="795"/>
    </row>
    <row r="1458" spans="4:5" hidden="1">
      <c r="D1458" s="795"/>
      <c r="E1458" s="795"/>
    </row>
    <row r="1459" spans="4:5" hidden="1">
      <c r="D1459" s="795"/>
      <c r="E1459" s="795"/>
    </row>
    <row r="1460" spans="4:5" hidden="1">
      <c r="D1460" s="795"/>
      <c r="E1460" s="795"/>
    </row>
    <row r="1461" spans="4:5" hidden="1">
      <c r="D1461" s="795"/>
      <c r="E1461" s="795"/>
    </row>
    <row r="1462" spans="4:5" hidden="1">
      <c r="D1462" s="795"/>
      <c r="E1462" s="795"/>
    </row>
    <row r="1463" spans="4:5" hidden="1">
      <c r="D1463" s="795"/>
      <c r="E1463" s="795"/>
    </row>
    <row r="1464" spans="4:5" hidden="1">
      <c r="D1464" s="795"/>
      <c r="E1464" s="795"/>
    </row>
    <row r="1465" spans="4:5" hidden="1">
      <c r="D1465" s="795"/>
      <c r="E1465" s="795"/>
    </row>
    <row r="1466" spans="4:5" hidden="1">
      <c r="D1466" s="795"/>
      <c r="E1466" s="795"/>
    </row>
    <row r="1467" spans="4:5" hidden="1">
      <c r="D1467" s="795"/>
      <c r="E1467" s="795"/>
    </row>
    <row r="1468" spans="4:5" hidden="1">
      <c r="D1468" s="795"/>
      <c r="E1468" s="795"/>
    </row>
    <row r="1469" spans="4:5" hidden="1">
      <c r="D1469" s="795"/>
      <c r="E1469" s="795"/>
    </row>
    <row r="1470" spans="4:5" hidden="1">
      <c r="D1470" s="795"/>
      <c r="E1470" s="795"/>
    </row>
    <row r="1471" spans="4:5" hidden="1">
      <c r="D1471" s="795"/>
      <c r="E1471" s="795"/>
    </row>
    <row r="1472" spans="4:5" hidden="1">
      <c r="D1472" s="795"/>
      <c r="E1472" s="795"/>
    </row>
    <row r="1473" spans="4:5" hidden="1">
      <c r="D1473" s="795"/>
      <c r="E1473" s="795"/>
    </row>
    <row r="1474" spans="4:5" hidden="1">
      <c r="D1474" s="795"/>
      <c r="E1474" s="795"/>
    </row>
    <row r="1475" spans="4:5" hidden="1">
      <c r="D1475" s="795"/>
      <c r="E1475" s="795"/>
    </row>
    <row r="1476" spans="4:5" hidden="1">
      <c r="D1476" s="795"/>
      <c r="E1476" s="795"/>
    </row>
    <row r="1477" spans="4:5" hidden="1">
      <c r="D1477" s="795"/>
      <c r="E1477" s="795"/>
    </row>
    <row r="1478" spans="4:5" hidden="1">
      <c r="D1478" s="795"/>
      <c r="E1478" s="795"/>
    </row>
    <row r="1479" spans="4:5" hidden="1">
      <c r="D1479" s="795"/>
      <c r="E1479" s="795"/>
    </row>
    <row r="1480" spans="4:5" hidden="1">
      <c r="D1480" s="795"/>
      <c r="E1480" s="795"/>
    </row>
    <row r="1481" spans="4:5" hidden="1">
      <c r="D1481" s="795"/>
      <c r="E1481" s="795"/>
    </row>
    <row r="1482" spans="4:5" hidden="1">
      <c r="D1482" s="795"/>
      <c r="E1482" s="795"/>
    </row>
    <row r="1483" spans="4:5" hidden="1">
      <c r="D1483" s="795"/>
      <c r="E1483" s="795"/>
    </row>
    <row r="1484" spans="4:5" hidden="1">
      <c r="D1484" s="795"/>
      <c r="E1484" s="795"/>
    </row>
    <row r="1485" spans="4:5" hidden="1">
      <c r="D1485" s="795"/>
      <c r="E1485" s="795"/>
    </row>
    <row r="1486" spans="4:5" hidden="1">
      <c r="D1486" s="795"/>
      <c r="E1486" s="795"/>
    </row>
    <row r="1487" spans="4:5" hidden="1">
      <c r="D1487" s="795"/>
      <c r="E1487" s="795"/>
    </row>
    <row r="1488" spans="4:5" hidden="1">
      <c r="D1488" s="795"/>
      <c r="E1488" s="795"/>
    </row>
    <row r="1489" spans="4:5" hidden="1">
      <c r="D1489" s="795"/>
      <c r="E1489" s="795"/>
    </row>
    <row r="1490" spans="4:5" hidden="1">
      <c r="D1490" s="795"/>
      <c r="E1490" s="795"/>
    </row>
    <row r="1491" spans="4:5" hidden="1">
      <c r="D1491" s="795"/>
      <c r="E1491" s="795"/>
    </row>
    <row r="1492" spans="4:5" hidden="1">
      <c r="D1492" s="795"/>
      <c r="E1492" s="795"/>
    </row>
    <row r="1493" spans="4:5" hidden="1">
      <c r="D1493" s="795"/>
      <c r="E1493" s="795"/>
    </row>
    <row r="1494" spans="4:5" hidden="1">
      <c r="D1494" s="795"/>
      <c r="E1494" s="795"/>
    </row>
    <row r="1495" spans="4:5" hidden="1">
      <c r="D1495" s="795"/>
      <c r="E1495" s="795"/>
    </row>
    <row r="1496" spans="4:5" hidden="1">
      <c r="D1496" s="795"/>
      <c r="E1496" s="795"/>
    </row>
    <row r="1497" spans="4:5" hidden="1">
      <c r="D1497" s="795"/>
      <c r="E1497" s="795"/>
    </row>
    <row r="1498" spans="4:5" hidden="1">
      <c r="D1498" s="795"/>
      <c r="E1498" s="795"/>
    </row>
    <row r="1499" spans="4:5" hidden="1">
      <c r="D1499" s="795"/>
      <c r="E1499" s="795"/>
    </row>
    <row r="1500" spans="4:5" hidden="1">
      <c r="D1500" s="795"/>
      <c r="E1500" s="795"/>
    </row>
    <row r="1501" spans="4:5" hidden="1">
      <c r="D1501" s="795"/>
      <c r="E1501" s="795"/>
    </row>
    <row r="1502" spans="4:5" hidden="1">
      <c r="D1502" s="795"/>
      <c r="E1502" s="795"/>
    </row>
    <row r="1503" spans="4:5" hidden="1">
      <c r="D1503" s="795"/>
      <c r="E1503" s="795"/>
    </row>
    <row r="1504" spans="4:5" hidden="1">
      <c r="D1504" s="795"/>
      <c r="E1504" s="795"/>
    </row>
    <row r="1505" spans="4:5" hidden="1">
      <c r="D1505" s="795"/>
      <c r="E1505" s="795"/>
    </row>
    <row r="1506" spans="4:5" hidden="1">
      <c r="D1506" s="795"/>
      <c r="E1506" s="795"/>
    </row>
    <row r="1507" spans="4:5" hidden="1">
      <c r="D1507" s="795"/>
      <c r="E1507" s="795"/>
    </row>
    <row r="1508" spans="4:5" hidden="1">
      <c r="D1508" s="795"/>
      <c r="E1508" s="795"/>
    </row>
    <row r="1509" spans="4:5" hidden="1">
      <c r="D1509" s="795"/>
      <c r="E1509" s="795"/>
    </row>
    <row r="1510" spans="4:5" hidden="1">
      <c r="D1510" s="795"/>
      <c r="E1510" s="795"/>
    </row>
    <row r="1511" spans="4:5" hidden="1">
      <c r="D1511" s="795"/>
      <c r="E1511" s="795"/>
    </row>
    <row r="1512" spans="4:5" hidden="1">
      <c r="D1512" s="795"/>
      <c r="E1512" s="795"/>
    </row>
    <row r="1513" spans="4:5" hidden="1">
      <c r="D1513" s="795"/>
      <c r="E1513" s="795"/>
    </row>
    <row r="1514" spans="4:5" hidden="1">
      <c r="D1514" s="795"/>
      <c r="E1514" s="795"/>
    </row>
    <row r="1515" spans="4:5" hidden="1">
      <c r="D1515" s="795"/>
      <c r="E1515" s="795"/>
    </row>
    <row r="1516" spans="4:5" hidden="1">
      <c r="D1516" s="795"/>
      <c r="E1516" s="795"/>
    </row>
    <row r="1517" spans="4:5" hidden="1">
      <c r="D1517" s="795"/>
      <c r="E1517" s="795"/>
    </row>
    <row r="1518" spans="4:5" hidden="1">
      <c r="D1518" s="795"/>
      <c r="E1518" s="795"/>
    </row>
    <row r="1519" spans="4:5" hidden="1">
      <c r="D1519" s="795"/>
      <c r="E1519" s="795"/>
    </row>
    <row r="1520" spans="4:5" hidden="1">
      <c r="D1520" s="795"/>
      <c r="E1520" s="795"/>
    </row>
    <row r="1521" spans="4:5" hidden="1">
      <c r="D1521" s="795"/>
      <c r="E1521" s="795"/>
    </row>
    <row r="1522" spans="4:5" hidden="1">
      <c r="D1522" s="795"/>
      <c r="E1522" s="795"/>
    </row>
    <row r="1523" spans="4:5" hidden="1">
      <c r="D1523" s="795"/>
      <c r="E1523" s="795"/>
    </row>
    <row r="1524" spans="4:5" hidden="1">
      <c r="D1524" s="795"/>
      <c r="E1524" s="795"/>
    </row>
    <row r="1525" spans="4:5" hidden="1">
      <c r="D1525" s="795"/>
      <c r="E1525" s="795"/>
    </row>
    <row r="1526" spans="4:5" hidden="1">
      <c r="D1526" s="795"/>
      <c r="E1526" s="795"/>
    </row>
    <row r="1527" spans="4:5" hidden="1">
      <c r="D1527" s="795"/>
      <c r="E1527" s="795"/>
    </row>
    <row r="1528" spans="4:5" hidden="1">
      <c r="D1528" s="795"/>
      <c r="E1528" s="795"/>
    </row>
    <row r="1529" spans="4:5" hidden="1">
      <c r="D1529" s="795"/>
      <c r="E1529" s="795"/>
    </row>
    <row r="1530" spans="4:5" hidden="1">
      <c r="D1530" s="795"/>
      <c r="E1530" s="795"/>
    </row>
    <row r="1531" spans="4:5" hidden="1">
      <c r="D1531" s="795"/>
      <c r="E1531" s="795"/>
    </row>
    <row r="1532" spans="4:5" hidden="1">
      <c r="D1532" s="795"/>
      <c r="E1532" s="795"/>
    </row>
    <row r="1533" spans="4:5" hidden="1">
      <c r="D1533" s="795"/>
      <c r="E1533" s="795"/>
    </row>
    <row r="1534" spans="4:5" hidden="1">
      <c r="D1534" s="795"/>
      <c r="E1534" s="795"/>
    </row>
    <row r="1535" spans="4:5" hidden="1">
      <c r="D1535" s="795"/>
      <c r="E1535" s="795"/>
    </row>
    <row r="1536" spans="4:5" hidden="1">
      <c r="D1536" s="795"/>
      <c r="E1536" s="795"/>
    </row>
    <row r="1537" spans="4:5" hidden="1">
      <c r="D1537" s="795"/>
      <c r="E1537" s="795"/>
    </row>
    <row r="1538" spans="4:5" hidden="1">
      <c r="D1538" s="795"/>
      <c r="E1538" s="795"/>
    </row>
    <row r="1539" spans="4:5" hidden="1">
      <c r="D1539" s="795"/>
      <c r="E1539" s="795"/>
    </row>
    <row r="1540" spans="4:5" hidden="1">
      <c r="D1540" s="795"/>
      <c r="E1540" s="795"/>
    </row>
    <row r="1541" spans="4:5" hidden="1">
      <c r="D1541" s="795"/>
      <c r="E1541" s="795"/>
    </row>
    <row r="1542" spans="4:5" hidden="1">
      <c r="D1542" s="795"/>
      <c r="E1542" s="795"/>
    </row>
    <row r="1543" spans="4:5" hidden="1">
      <c r="D1543" s="795"/>
      <c r="E1543" s="795"/>
    </row>
    <row r="1544" spans="4:5" hidden="1">
      <c r="D1544" s="795"/>
      <c r="E1544" s="795"/>
    </row>
    <row r="1545" spans="4:5" hidden="1">
      <c r="D1545" s="795"/>
      <c r="E1545" s="795"/>
    </row>
    <row r="1546" spans="4:5" hidden="1">
      <c r="D1546" s="795"/>
      <c r="E1546" s="795"/>
    </row>
    <row r="1547" spans="4:5" hidden="1">
      <c r="D1547" s="795"/>
      <c r="E1547" s="795"/>
    </row>
    <row r="1548" spans="4:5" hidden="1">
      <c r="D1548" s="795"/>
      <c r="E1548" s="795"/>
    </row>
    <row r="1549" spans="4:5" hidden="1">
      <c r="D1549" s="795"/>
      <c r="E1549" s="795"/>
    </row>
    <row r="1550" spans="4:5" hidden="1">
      <c r="D1550" s="795"/>
      <c r="E1550" s="795"/>
    </row>
    <row r="1551" spans="4:5" hidden="1">
      <c r="D1551" s="795"/>
      <c r="E1551" s="795"/>
    </row>
    <row r="1552" spans="4:5" hidden="1">
      <c r="D1552" s="795"/>
      <c r="E1552" s="795"/>
    </row>
    <row r="1553" spans="4:5" hidden="1">
      <c r="D1553" s="795"/>
      <c r="E1553" s="795"/>
    </row>
    <row r="1554" spans="4:5" hidden="1">
      <c r="D1554" s="795"/>
      <c r="E1554" s="795"/>
    </row>
    <row r="1555" spans="4:5" hidden="1">
      <c r="D1555" s="795"/>
      <c r="E1555" s="795"/>
    </row>
    <row r="1556" spans="4:5" hidden="1">
      <c r="D1556" s="795"/>
      <c r="E1556" s="795"/>
    </row>
    <row r="1557" spans="4:5" hidden="1">
      <c r="D1557" s="795"/>
      <c r="E1557" s="795"/>
    </row>
    <row r="1558" spans="4:5" hidden="1">
      <c r="D1558" s="795"/>
      <c r="E1558" s="795"/>
    </row>
    <row r="1559" spans="4:5" hidden="1">
      <c r="D1559" s="795"/>
      <c r="E1559" s="795"/>
    </row>
    <row r="1560" spans="4:5" hidden="1">
      <c r="D1560" s="795"/>
      <c r="E1560" s="795"/>
    </row>
    <row r="1561" spans="4:5" hidden="1">
      <c r="D1561" s="795"/>
      <c r="E1561" s="795"/>
    </row>
    <row r="1562" spans="4:5" hidden="1">
      <c r="D1562" s="795"/>
      <c r="E1562" s="795"/>
    </row>
    <row r="1563" spans="4:5" hidden="1">
      <c r="D1563" s="795"/>
      <c r="E1563" s="795"/>
    </row>
    <row r="1564" spans="4:5" hidden="1">
      <c r="D1564" s="795"/>
      <c r="E1564" s="795"/>
    </row>
    <row r="1565" spans="4:5" hidden="1">
      <c r="D1565" s="795"/>
      <c r="E1565" s="795"/>
    </row>
    <row r="1566" spans="4:5" hidden="1">
      <c r="D1566" s="795"/>
      <c r="E1566" s="795"/>
    </row>
    <row r="1567" spans="4:5" hidden="1">
      <c r="D1567" s="795"/>
      <c r="E1567" s="795"/>
    </row>
    <row r="1568" spans="4:5" hidden="1">
      <c r="D1568" s="795"/>
      <c r="E1568" s="795"/>
    </row>
    <row r="1569" spans="4:5" hidden="1">
      <c r="D1569" s="795"/>
      <c r="E1569" s="795"/>
    </row>
    <row r="1570" spans="4:5" hidden="1">
      <c r="D1570" s="795"/>
      <c r="E1570" s="795"/>
    </row>
    <row r="1571" spans="4:5" hidden="1">
      <c r="D1571" s="795"/>
      <c r="E1571" s="795"/>
    </row>
    <row r="1572" spans="4:5" hidden="1">
      <c r="D1572" s="795"/>
      <c r="E1572" s="795"/>
    </row>
    <row r="1573" spans="4:5" hidden="1">
      <c r="D1573" s="795"/>
      <c r="E1573" s="795"/>
    </row>
    <row r="1574" spans="4:5" hidden="1">
      <c r="D1574" s="795"/>
      <c r="E1574" s="795"/>
    </row>
    <row r="1575" spans="4:5" hidden="1">
      <c r="D1575" s="795"/>
      <c r="E1575" s="795"/>
    </row>
    <row r="1576" spans="4:5" hidden="1">
      <c r="D1576" s="795"/>
      <c r="E1576" s="795"/>
    </row>
    <row r="1577" spans="4:5" hidden="1">
      <c r="D1577" s="795"/>
      <c r="E1577" s="795"/>
    </row>
    <row r="1578" spans="4:5" hidden="1">
      <c r="D1578" s="795"/>
      <c r="E1578" s="795"/>
    </row>
    <row r="1579" spans="4:5" hidden="1">
      <c r="D1579" s="795"/>
      <c r="E1579" s="795"/>
    </row>
    <row r="1580" spans="4:5" hidden="1">
      <c r="D1580" s="795"/>
      <c r="E1580" s="795"/>
    </row>
    <row r="1581" spans="4:5" hidden="1">
      <c r="D1581" s="795"/>
      <c r="E1581" s="795"/>
    </row>
    <row r="1582" spans="4:5" hidden="1">
      <c r="D1582" s="795"/>
      <c r="E1582" s="795"/>
    </row>
    <row r="1583" spans="4:5" hidden="1">
      <c r="D1583" s="795"/>
      <c r="E1583" s="795"/>
    </row>
    <row r="1584" spans="4:5" hidden="1">
      <c r="D1584" s="795"/>
      <c r="E1584" s="795"/>
    </row>
    <row r="1585" spans="4:5" hidden="1">
      <c r="D1585" s="795"/>
      <c r="E1585" s="795"/>
    </row>
    <row r="1586" spans="4:5" hidden="1">
      <c r="D1586" s="795"/>
      <c r="E1586" s="795"/>
    </row>
    <row r="1587" spans="4:5" hidden="1">
      <c r="D1587" s="795"/>
      <c r="E1587" s="795"/>
    </row>
    <row r="1588" spans="4:5" hidden="1">
      <c r="D1588" s="795"/>
      <c r="E1588" s="795"/>
    </row>
    <row r="1589" spans="4:5" hidden="1">
      <c r="D1589" s="795"/>
      <c r="E1589" s="795"/>
    </row>
    <row r="1590" spans="4:5" hidden="1">
      <c r="D1590" s="795"/>
      <c r="E1590" s="795"/>
    </row>
    <row r="1591" spans="4:5" hidden="1">
      <c r="D1591" s="795"/>
      <c r="E1591" s="795"/>
    </row>
    <row r="1592" spans="4:5" hidden="1">
      <c r="D1592" s="795"/>
      <c r="E1592" s="795"/>
    </row>
    <row r="1593" spans="4:5" hidden="1">
      <c r="D1593" s="795"/>
      <c r="E1593" s="795"/>
    </row>
    <row r="1594" spans="4:5" hidden="1">
      <c r="D1594" s="795"/>
      <c r="E1594" s="795"/>
    </row>
    <row r="1595" spans="4:5" hidden="1">
      <c r="D1595" s="795"/>
      <c r="E1595" s="795"/>
    </row>
    <row r="1596" spans="4:5" hidden="1">
      <c r="D1596" s="795"/>
      <c r="E1596" s="795"/>
    </row>
    <row r="1597" spans="4:5" hidden="1">
      <c r="D1597" s="795"/>
      <c r="E1597" s="795"/>
    </row>
    <row r="1598" spans="4:5" hidden="1">
      <c r="D1598" s="795"/>
      <c r="E1598" s="795"/>
    </row>
    <row r="1599" spans="4:5" hidden="1">
      <c r="D1599" s="795"/>
      <c r="E1599" s="795"/>
    </row>
    <row r="1600" spans="4:5" hidden="1">
      <c r="D1600" s="795"/>
      <c r="E1600" s="795"/>
    </row>
    <row r="1601" spans="4:5" hidden="1">
      <c r="D1601" s="795"/>
      <c r="E1601" s="795"/>
    </row>
    <row r="1602" spans="4:5" hidden="1">
      <c r="D1602" s="795"/>
      <c r="E1602" s="795"/>
    </row>
    <row r="1603" spans="4:5" hidden="1">
      <c r="D1603" s="795"/>
      <c r="E1603" s="795"/>
    </row>
    <row r="1604" spans="4:5" hidden="1">
      <c r="D1604" s="795"/>
      <c r="E1604" s="795"/>
    </row>
    <row r="1605" spans="4:5" hidden="1">
      <c r="D1605" s="795"/>
      <c r="E1605" s="795"/>
    </row>
    <row r="1606" spans="4:5" hidden="1">
      <c r="D1606" s="795"/>
      <c r="E1606" s="795"/>
    </row>
    <row r="1607" spans="4:5" hidden="1">
      <c r="D1607" s="795"/>
      <c r="E1607" s="795"/>
    </row>
    <row r="1608" spans="4:5" hidden="1">
      <c r="D1608" s="795"/>
      <c r="E1608" s="795"/>
    </row>
    <row r="1609" spans="4:5" hidden="1">
      <c r="D1609" s="795"/>
      <c r="E1609" s="795"/>
    </row>
    <row r="1610" spans="4:5" hidden="1">
      <c r="D1610" s="795"/>
      <c r="E1610" s="795"/>
    </row>
    <row r="1611" spans="4:5" hidden="1">
      <c r="D1611" s="795"/>
      <c r="E1611" s="795"/>
    </row>
    <row r="1612" spans="4:5" hidden="1">
      <c r="D1612" s="795"/>
      <c r="E1612" s="795"/>
    </row>
    <row r="1613" spans="4:5" hidden="1">
      <c r="D1613" s="795"/>
      <c r="E1613" s="795"/>
    </row>
    <row r="1614" spans="4:5" hidden="1">
      <c r="D1614" s="795"/>
      <c r="E1614" s="795"/>
    </row>
    <row r="1615" spans="4:5" hidden="1">
      <c r="D1615" s="795"/>
      <c r="E1615" s="795"/>
    </row>
    <row r="1616" spans="4:5" hidden="1">
      <c r="D1616" s="795"/>
      <c r="E1616" s="795"/>
    </row>
    <row r="1617" spans="4:5" hidden="1">
      <c r="D1617" s="795"/>
      <c r="E1617" s="795"/>
    </row>
    <row r="1618" spans="4:5" hidden="1">
      <c r="D1618" s="795"/>
      <c r="E1618" s="795"/>
    </row>
    <row r="1619" spans="4:5" hidden="1">
      <c r="D1619" s="795"/>
      <c r="E1619" s="795"/>
    </row>
    <row r="1620" spans="4:5" hidden="1">
      <c r="D1620" s="795"/>
      <c r="E1620" s="795"/>
    </row>
    <row r="1621" spans="4:5" hidden="1">
      <c r="D1621" s="795"/>
      <c r="E1621" s="795"/>
    </row>
    <row r="1622" spans="4:5" hidden="1">
      <c r="D1622" s="795"/>
      <c r="E1622" s="795"/>
    </row>
    <row r="1623" spans="4:5" hidden="1">
      <c r="D1623" s="795"/>
      <c r="E1623" s="795"/>
    </row>
    <row r="1624" spans="4:5" hidden="1">
      <c r="D1624" s="795"/>
      <c r="E1624" s="795"/>
    </row>
    <row r="1625" spans="4:5" hidden="1">
      <c r="D1625" s="795"/>
      <c r="E1625" s="795"/>
    </row>
    <row r="1626" spans="4:5" hidden="1">
      <c r="D1626" s="795"/>
      <c r="E1626" s="795"/>
    </row>
    <row r="1627" spans="4:5" hidden="1">
      <c r="D1627" s="795"/>
      <c r="E1627" s="795"/>
    </row>
    <row r="1628" spans="4:5" hidden="1">
      <c r="D1628" s="795"/>
      <c r="E1628" s="795"/>
    </row>
    <row r="1629" spans="4:5" hidden="1">
      <c r="D1629" s="795"/>
      <c r="E1629" s="795"/>
    </row>
    <row r="1630" spans="4:5" hidden="1">
      <c r="D1630" s="795"/>
      <c r="E1630" s="795"/>
    </row>
    <row r="1631" spans="4:5" hidden="1">
      <c r="D1631" s="795"/>
      <c r="E1631" s="795"/>
    </row>
    <row r="1632" spans="4:5" hidden="1">
      <c r="D1632" s="795"/>
      <c r="E1632" s="795"/>
    </row>
    <row r="1633" spans="4:5" hidden="1">
      <c r="D1633" s="795"/>
      <c r="E1633" s="795"/>
    </row>
    <row r="1634" spans="4:5" hidden="1">
      <c r="D1634" s="795"/>
      <c r="E1634" s="795"/>
    </row>
    <row r="1635" spans="4:5" hidden="1">
      <c r="D1635" s="795"/>
      <c r="E1635" s="795"/>
    </row>
    <row r="1636" spans="4:5" hidden="1">
      <c r="D1636" s="795"/>
      <c r="E1636" s="795"/>
    </row>
    <row r="1637" spans="4:5" hidden="1">
      <c r="D1637" s="795"/>
      <c r="E1637" s="795"/>
    </row>
    <row r="1638" spans="4:5" hidden="1">
      <c r="D1638" s="795"/>
      <c r="E1638" s="795"/>
    </row>
    <row r="1639" spans="4:5" hidden="1">
      <c r="D1639" s="795"/>
      <c r="E1639" s="795"/>
    </row>
    <row r="1640" spans="4:5" hidden="1">
      <c r="D1640" s="795"/>
      <c r="E1640" s="795"/>
    </row>
    <row r="1641" spans="4:5" hidden="1">
      <c r="D1641" s="795"/>
      <c r="E1641" s="795"/>
    </row>
    <row r="1642" spans="4:5" hidden="1">
      <c r="D1642" s="795"/>
      <c r="E1642" s="795"/>
    </row>
    <row r="1643" spans="4:5" hidden="1">
      <c r="D1643" s="795"/>
      <c r="E1643" s="795"/>
    </row>
    <row r="1644" spans="4:5" hidden="1">
      <c r="D1644" s="795"/>
      <c r="E1644" s="795"/>
    </row>
    <row r="1645" spans="4:5" hidden="1">
      <c r="D1645" s="795"/>
      <c r="E1645" s="795"/>
    </row>
    <row r="1646" spans="4:5" hidden="1">
      <c r="D1646" s="795"/>
      <c r="E1646" s="795"/>
    </row>
    <row r="1647" spans="4:5" hidden="1">
      <c r="D1647" s="795"/>
      <c r="E1647" s="795"/>
    </row>
    <row r="1648" spans="4:5" hidden="1">
      <c r="D1648" s="795"/>
      <c r="E1648" s="795"/>
    </row>
    <row r="1649" spans="4:5" hidden="1">
      <c r="D1649" s="795"/>
      <c r="E1649" s="795"/>
    </row>
    <row r="1650" spans="4:5" hidden="1">
      <c r="D1650" s="795"/>
      <c r="E1650" s="795"/>
    </row>
    <row r="1651" spans="4:5" hidden="1">
      <c r="D1651" s="795"/>
      <c r="E1651" s="795"/>
    </row>
    <row r="1652" spans="4:5" hidden="1">
      <c r="D1652" s="795"/>
      <c r="E1652" s="795"/>
    </row>
    <row r="1653" spans="4:5" hidden="1">
      <c r="D1653" s="795"/>
      <c r="E1653" s="795"/>
    </row>
    <row r="1654" spans="4:5" hidden="1">
      <c r="D1654" s="795"/>
      <c r="E1654" s="795"/>
    </row>
    <row r="1655" spans="4:5" hidden="1">
      <c r="D1655" s="795"/>
      <c r="E1655" s="795"/>
    </row>
    <row r="1656" spans="4:5" hidden="1">
      <c r="D1656" s="795"/>
      <c r="E1656" s="795"/>
    </row>
    <row r="1657" spans="4:5" hidden="1">
      <c r="D1657" s="795"/>
      <c r="E1657" s="795"/>
    </row>
    <row r="1658" spans="4:5" hidden="1">
      <c r="D1658" s="795"/>
      <c r="E1658" s="795"/>
    </row>
    <row r="1659" spans="4:5" hidden="1">
      <c r="D1659" s="795"/>
      <c r="E1659" s="795"/>
    </row>
    <row r="1660" spans="4:5" hidden="1">
      <c r="D1660" s="795"/>
      <c r="E1660" s="795"/>
    </row>
    <row r="1661" spans="4:5" hidden="1">
      <c r="D1661" s="795"/>
      <c r="E1661" s="795"/>
    </row>
    <row r="1662" spans="4:5" hidden="1">
      <c r="D1662" s="795"/>
      <c r="E1662" s="795"/>
    </row>
    <row r="1663" spans="4:5" hidden="1">
      <c r="D1663" s="795"/>
      <c r="E1663" s="795"/>
    </row>
    <row r="1664" spans="4:5" hidden="1">
      <c r="D1664" s="795"/>
      <c r="E1664" s="795"/>
    </row>
    <row r="1665" spans="4:5" hidden="1">
      <c r="D1665" s="795"/>
      <c r="E1665" s="795"/>
    </row>
    <row r="1666" spans="4:5" hidden="1">
      <c r="D1666" s="795"/>
      <c r="E1666" s="795"/>
    </row>
    <row r="1667" spans="4:5" hidden="1">
      <c r="D1667" s="795"/>
      <c r="E1667" s="795"/>
    </row>
    <row r="1668" spans="4:5" hidden="1">
      <c r="D1668" s="795"/>
      <c r="E1668" s="795"/>
    </row>
    <row r="1669" spans="4:5" hidden="1">
      <c r="D1669" s="795"/>
      <c r="E1669" s="795"/>
    </row>
    <row r="1670" spans="4:5" hidden="1">
      <c r="D1670" s="795"/>
      <c r="E1670" s="795"/>
    </row>
    <row r="1671" spans="4:5" hidden="1">
      <c r="D1671" s="795"/>
      <c r="E1671" s="795"/>
    </row>
    <row r="1672" spans="4:5" hidden="1">
      <c r="D1672" s="795"/>
      <c r="E1672" s="795"/>
    </row>
    <row r="1673" spans="4:5" hidden="1">
      <c r="D1673" s="795"/>
      <c r="E1673" s="795"/>
    </row>
    <row r="1674" spans="4:5" hidden="1">
      <c r="D1674" s="795"/>
      <c r="E1674" s="795"/>
    </row>
    <row r="1675" spans="4:5" hidden="1">
      <c r="D1675" s="795"/>
      <c r="E1675" s="795"/>
    </row>
    <row r="1676" spans="4:5" hidden="1">
      <c r="D1676" s="795"/>
      <c r="E1676" s="795"/>
    </row>
    <row r="1677" spans="4:5" hidden="1">
      <c r="D1677" s="795"/>
      <c r="E1677" s="795"/>
    </row>
    <row r="1678" spans="4:5" hidden="1">
      <c r="D1678" s="795"/>
      <c r="E1678" s="795"/>
    </row>
    <row r="1679" spans="4:5" hidden="1">
      <c r="D1679" s="795"/>
      <c r="E1679" s="795"/>
    </row>
    <row r="1680" spans="4:5" hidden="1">
      <c r="D1680" s="795"/>
      <c r="E1680" s="795"/>
    </row>
    <row r="1681" spans="4:5" hidden="1">
      <c r="D1681" s="795"/>
      <c r="E1681" s="795"/>
    </row>
    <row r="1682" spans="4:5" hidden="1">
      <c r="D1682" s="795"/>
      <c r="E1682" s="795"/>
    </row>
    <row r="1683" spans="4:5" hidden="1">
      <c r="D1683" s="795"/>
      <c r="E1683" s="795"/>
    </row>
    <row r="1684" spans="4:5" hidden="1">
      <c r="D1684" s="795"/>
      <c r="E1684" s="795"/>
    </row>
    <row r="1685" spans="4:5" hidden="1">
      <c r="D1685" s="795"/>
      <c r="E1685" s="795"/>
    </row>
    <row r="1686" spans="4:5" hidden="1">
      <c r="D1686" s="795"/>
      <c r="E1686" s="795"/>
    </row>
    <row r="1687" spans="4:5" hidden="1">
      <c r="D1687" s="795"/>
      <c r="E1687" s="795"/>
    </row>
    <row r="1688" spans="4:5" hidden="1">
      <c r="D1688" s="795"/>
      <c r="E1688" s="795"/>
    </row>
    <row r="1689" spans="4:5" hidden="1">
      <c r="D1689" s="795"/>
      <c r="E1689" s="795"/>
    </row>
    <row r="1690" spans="4:5" hidden="1">
      <c r="D1690" s="795"/>
      <c r="E1690" s="795"/>
    </row>
    <row r="1691" spans="4:5" hidden="1">
      <c r="D1691" s="795"/>
      <c r="E1691" s="795"/>
    </row>
    <row r="1692" spans="4:5" hidden="1">
      <c r="D1692" s="795"/>
      <c r="E1692" s="795"/>
    </row>
    <row r="1693" spans="4:5" hidden="1">
      <c r="D1693" s="795"/>
      <c r="E1693" s="795"/>
    </row>
    <row r="1694" spans="4:5" hidden="1">
      <c r="D1694" s="795"/>
      <c r="E1694" s="795"/>
    </row>
    <row r="1695" spans="4:5" hidden="1">
      <c r="D1695" s="795"/>
      <c r="E1695" s="795"/>
    </row>
    <row r="1696" spans="4:5" hidden="1">
      <c r="D1696" s="795"/>
      <c r="E1696" s="795"/>
    </row>
    <row r="1697" spans="4:5" hidden="1">
      <c r="D1697" s="795"/>
      <c r="E1697" s="795"/>
    </row>
    <row r="1698" spans="4:5" hidden="1">
      <c r="D1698" s="795"/>
      <c r="E1698" s="795"/>
    </row>
    <row r="1699" spans="4:5" hidden="1">
      <c r="D1699" s="795"/>
      <c r="E1699" s="795"/>
    </row>
    <row r="1700" spans="4:5" hidden="1">
      <c r="D1700" s="795"/>
      <c r="E1700" s="795"/>
    </row>
    <row r="1701" spans="4:5" hidden="1">
      <c r="D1701" s="795"/>
      <c r="E1701" s="795"/>
    </row>
    <row r="1702" spans="4:5" hidden="1">
      <c r="D1702" s="795"/>
      <c r="E1702" s="795"/>
    </row>
    <row r="1703" spans="4:5" hidden="1">
      <c r="D1703" s="795"/>
      <c r="E1703" s="795"/>
    </row>
    <row r="1704" spans="4:5" hidden="1">
      <c r="D1704" s="795"/>
      <c r="E1704" s="795"/>
    </row>
    <row r="1705" spans="4:5" hidden="1">
      <c r="D1705" s="795"/>
      <c r="E1705" s="795"/>
    </row>
    <row r="1706" spans="4:5" hidden="1">
      <c r="D1706" s="795"/>
      <c r="E1706" s="795"/>
    </row>
    <row r="1707" spans="4:5" hidden="1">
      <c r="D1707" s="795"/>
      <c r="E1707" s="795"/>
    </row>
    <row r="1708" spans="4:5" hidden="1">
      <c r="D1708" s="795"/>
      <c r="E1708" s="795"/>
    </row>
    <row r="1709" spans="4:5" hidden="1">
      <c r="D1709" s="795"/>
      <c r="E1709" s="795"/>
    </row>
    <row r="1710" spans="4:5" hidden="1">
      <c r="D1710" s="795"/>
      <c r="E1710" s="795"/>
    </row>
    <row r="1711" spans="4:5" hidden="1">
      <c r="D1711" s="795"/>
      <c r="E1711" s="795"/>
    </row>
    <row r="1712" spans="4:5" hidden="1">
      <c r="D1712" s="795"/>
      <c r="E1712" s="795"/>
    </row>
    <row r="1713" spans="4:5" hidden="1">
      <c r="D1713" s="795"/>
      <c r="E1713" s="795"/>
    </row>
    <row r="1714" spans="4:5" hidden="1">
      <c r="D1714" s="795"/>
      <c r="E1714" s="795"/>
    </row>
    <row r="1715" spans="4:5" hidden="1">
      <c r="D1715" s="795"/>
      <c r="E1715" s="795"/>
    </row>
    <row r="1716" spans="4:5" hidden="1">
      <c r="D1716" s="795"/>
      <c r="E1716" s="795"/>
    </row>
    <row r="1717" spans="4:5" hidden="1">
      <c r="D1717" s="795"/>
      <c r="E1717" s="795"/>
    </row>
    <row r="1718" spans="4:5" hidden="1">
      <c r="D1718" s="795"/>
      <c r="E1718" s="795"/>
    </row>
    <row r="1719" spans="4:5" hidden="1">
      <c r="D1719" s="795"/>
      <c r="E1719" s="795"/>
    </row>
    <row r="1720" spans="4:5" hidden="1">
      <c r="D1720" s="795"/>
      <c r="E1720" s="795"/>
    </row>
    <row r="1721" spans="4:5" hidden="1">
      <c r="D1721" s="795"/>
      <c r="E1721" s="795"/>
    </row>
    <row r="1722" spans="4:5" hidden="1">
      <c r="D1722" s="795"/>
      <c r="E1722" s="795"/>
    </row>
    <row r="1723" spans="4:5" hidden="1">
      <c r="D1723" s="795"/>
      <c r="E1723" s="795"/>
    </row>
    <row r="1724" spans="4:5" hidden="1">
      <c r="D1724" s="795"/>
      <c r="E1724" s="795"/>
    </row>
    <row r="1725" spans="4:5" hidden="1">
      <c r="D1725" s="795"/>
      <c r="E1725" s="795"/>
    </row>
    <row r="1726" spans="4:5" hidden="1">
      <c r="D1726" s="795"/>
      <c r="E1726" s="795"/>
    </row>
    <row r="1727" spans="4:5" hidden="1">
      <c r="D1727" s="795"/>
      <c r="E1727" s="795"/>
    </row>
    <row r="1728" spans="4:5" hidden="1">
      <c r="D1728" s="795"/>
      <c r="E1728" s="795"/>
    </row>
    <row r="1729" spans="4:5" hidden="1">
      <c r="D1729" s="795"/>
      <c r="E1729" s="795"/>
    </row>
    <row r="1730" spans="4:5" hidden="1">
      <c r="D1730" s="795"/>
      <c r="E1730" s="795"/>
    </row>
    <row r="1731" spans="4:5" hidden="1">
      <c r="D1731" s="795"/>
      <c r="E1731" s="795"/>
    </row>
    <row r="1732" spans="4:5" hidden="1">
      <c r="D1732" s="795"/>
      <c r="E1732" s="795"/>
    </row>
    <row r="1733" spans="4:5" hidden="1">
      <c r="D1733" s="795"/>
      <c r="E1733" s="795"/>
    </row>
    <row r="1734" spans="4:5" hidden="1">
      <c r="D1734" s="795"/>
      <c r="E1734" s="795"/>
    </row>
    <row r="1735" spans="4:5" hidden="1">
      <c r="D1735" s="795"/>
      <c r="E1735" s="795"/>
    </row>
    <row r="1736" spans="4:5" hidden="1">
      <c r="D1736" s="795"/>
      <c r="E1736" s="795"/>
    </row>
    <row r="1737" spans="4:5" hidden="1">
      <c r="D1737" s="795"/>
      <c r="E1737" s="795"/>
    </row>
    <row r="1738" spans="4:5" hidden="1">
      <c r="D1738" s="795"/>
      <c r="E1738" s="795"/>
    </row>
    <row r="1739" spans="4:5" hidden="1">
      <c r="D1739" s="795"/>
      <c r="E1739" s="795"/>
    </row>
    <row r="1740" spans="4:5" hidden="1">
      <c r="D1740" s="795"/>
      <c r="E1740" s="795"/>
    </row>
    <row r="1741" spans="4:5" hidden="1">
      <c r="D1741" s="795"/>
      <c r="E1741" s="795"/>
    </row>
    <row r="1742" spans="4:5" hidden="1">
      <c r="D1742" s="795"/>
      <c r="E1742" s="795"/>
    </row>
    <row r="1743" spans="4:5" hidden="1">
      <c r="D1743" s="795"/>
      <c r="E1743" s="795"/>
    </row>
    <row r="1744" spans="4:5" hidden="1">
      <c r="D1744" s="795"/>
      <c r="E1744" s="795"/>
    </row>
    <row r="1745" spans="4:5" hidden="1">
      <c r="D1745" s="795"/>
      <c r="E1745" s="795"/>
    </row>
    <row r="1746" spans="4:5" hidden="1">
      <c r="D1746" s="795"/>
      <c r="E1746" s="795"/>
    </row>
    <row r="1747" spans="4:5" hidden="1">
      <c r="D1747" s="795"/>
      <c r="E1747" s="795"/>
    </row>
    <row r="1748" spans="4:5" hidden="1">
      <c r="D1748" s="795"/>
      <c r="E1748" s="795"/>
    </row>
    <row r="1749" spans="4:5" hidden="1">
      <c r="D1749" s="795"/>
      <c r="E1749" s="795"/>
    </row>
    <row r="1750" spans="4:5" hidden="1">
      <c r="D1750" s="795"/>
      <c r="E1750" s="795"/>
    </row>
    <row r="1751" spans="4:5" hidden="1">
      <c r="D1751" s="795"/>
      <c r="E1751" s="795"/>
    </row>
    <row r="1752" spans="4:5" hidden="1">
      <c r="D1752" s="795"/>
      <c r="E1752" s="795"/>
    </row>
    <row r="1753" spans="4:5" hidden="1">
      <c r="D1753" s="795"/>
      <c r="E1753" s="795"/>
    </row>
    <row r="1754" spans="4:5" hidden="1">
      <c r="D1754" s="795"/>
      <c r="E1754" s="795"/>
    </row>
    <row r="1755" spans="4:5" hidden="1">
      <c r="D1755" s="795"/>
      <c r="E1755" s="795"/>
    </row>
    <row r="1756" spans="4:5" hidden="1">
      <c r="D1756" s="795"/>
      <c r="E1756" s="795"/>
    </row>
    <row r="1757" spans="4:5" hidden="1">
      <c r="D1757" s="795"/>
      <c r="E1757" s="795"/>
    </row>
    <row r="1758" spans="4:5" hidden="1">
      <c r="D1758" s="795"/>
      <c r="E1758" s="795"/>
    </row>
    <row r="1759" spans="4:5" hidden="1">
      <c r="D1759" s="795"/>
      <c r="E1759" s="795"/>
    </row>
    <row r="1760" spans="4:5" hidden="1">
      <c r="D1760" s="795"/>
      <c r="E1760" s="795"/>
    </row>
    <row r="1761" spans="4:5" hidden="1">
      <c r="D1761" s="795"/>
      <c r="E1761" s="795"/>
    </row>
    <row r="1762" spans="4:5" hidden="1">
      <c r="D1762" s="795"/>
      <c r="E1762" s="795"/>
    </row>
    <row r="1763" spans="4:5" hidden="1">
      <c r="D1763" s="795"/>
      <c r="E1763" s="795"/>
    </row>
    <row r="1764" spans="4:5" hidden="1">
      <c r="D1764" s="795"/>
      <c r="E1764" s="795"/>
    </row>
    <row r="1765" spans="4:5" hidden="1">
      <c r="D1765" s="795"/>
      <c r="E1765" s="795"/>
    </row>
    <row r="1766" spans="4:5" hidden="1">
      <c r="D1766" s="795"/>
      <c r="E1766" s="795"/>
    </row>
    <row r="1767" spans="4:5" hidden="1">
      <c r="D1767" s="795"/>
      <c r="E1767" s="795"/>
    </row>
    <row r="1768" spans="4:5" hidden="1">
      <c r="D1768" s="795"/>
      <c r="E1768" s="795"/>
    </row>
    <row r="1769" spans="4:5" hidden="1">
      <c r="D1769" s="795"/>
      <c r="E1769" s="795"/>
    </row>
    <row r="1770" spans="4:5" hidden="1">
      <c r="D1770" s="795"/>
      <c r="E1770" s="795"/>
    </row>
    <row r="1771" spans="4:5" hidden="1">
      <c r="D1771" s="795"/>
      <c r="E1771" s="795"/>
    </row>
    <row r="1772" spans="4:5" hidden="1">
      <c r="D1772" s="795"/>
      <c r="E1772" s="795"/>
    </row>
    <row r="1773" spans="4:5" hidden="1">
      <c r="D1773" s="795"/>
      <c r="E1773" s="795"/>
    </row>
    <row r="1774" spans="4:5" hidden="1">
      <c r="D1774" s="795"/>
      <c r="E1774" s="795"/>
    </row>
    <row r="1775" spans="4:5" hidden="1">
      <c r="D1775" s="795"/>
      <c r="E1775" s="795"/>
    </row>
    <row r="1776" spans="4:5" hidden="1">
      <c r="D1776" s="795"/>
      <c r="E1776" s="795"/>
    </row>
    <row r="1777" spans="4:5" hidden="1">
      <c r="D1777" s="795"/>
      <c r="E1777" s="795"/>
    </row>
    <row r="1778" spans="4:5" hidden="1">
      <c r="D1778" s="795"/>
      <c r="E1778" s="795"/>
    </row>
    <row r="1779" spans="4:5" hidden="1">
      <c r="D1779" s="795"/>
      <c r="E1779" s="795"/>
    </row>
    <row r="1780" spans="4:5" hidden="1">
      <c r="D1780" s="795"/>
      <c r="E1780" s="795"/>
    </row>
    <row r="1781" spans="4:5" hidden="1">
      <c r="D1781" s="795"/>
      <c r="E1781" s="795"/>
    </row>
    <row r="1782" spans="4:5" hidden="1">
      <c r="D1782" s="795"/>
      <c r="E1782" s="795"/>
    </row>
    <row r="1783" spans="4:5" hidden="1">
      <c r="D1783" s="795"/>
      <c r="E1783" s="795"/>
    </row>
    <row r="1784" spans="4:5" hidden="1">
      <c r="D1784" s="795"/>
      <c r="E1784" s="795"/>
    </row>
    <row r="1785" spans="4:5" hidden="1">
      <c r="D1785" s="795"/>
      <c r="E1785" s="795"/>
    </row>
    <row r="1786" spans="4:5" hidden="1">
      <c r="D1786" s="795"/>
      <c r="E1786" s="795"/>
    </row>
    <row r="1787" spans="4:5" hidden="1">
      <c r="D1787" s="795"/>
      <c r="E1787" s="795"/>
    </row>
    <row r="1788" spans="4:5" hidden="1">
      <c r="D1788" s="795"/>
      <c r="E1788" s="795"/>
    </row>
    <row r="1789" spans="4:5" hidden="1">
      <c r="D1789" s="795"/>
      <c r="E1789" s="795"/>
    </row>
    <row r="1790" spans="4:5" hidden="1">
      <c r="D1790" s="795"/>
      <c r="E1790" s="795"/>
    </row>
    <row r="1791" spans="4:5" hidden="1">
      <c r="D1791" s="795"/>
      <c r="E1791" s="795"/>
    </row>
    <row r="1792" spans="4:5" hidden="1">
      <c r="D1792" s="795"/>
      <c r="E1792" s="795"/>
    </row>
    <row r="1793" spans="4:5" hidden="1">
      <c r="D1793" s="795"/>
      <c r="E1793" s="795"/>
    </row>
    <row r="1794" spans="4:5" hidden="1">
      <c r="D1794" s="795"/>
      <c r="E1794" s="795"/>
    </row>
    <row r="1795" spans="4:5" hidden="1">
      <c r="D1795" s="795"/>
      <c r="E1795" s="795"/>
    </row>
    <row r="1796" spans="4:5" hidden="1">
      <c r="D1796" s="795"/>
      <c r="E1796" s="795"/>
    </row>
    <row r="1797" spans="4:5" hidden="1">
      <c r="D1797" s="795"/>
      <c r="E1797" s="795"/>
    </row>
    <row r="1798" spans="4:5" hidden="1">
      <c r="D1798" s="795"/>
      <c r="E1798" s="795"/>
    </row>
    <row r="1799" spans="4:5" hidden="1">
      <c r="D1799" s="795"/>
      <c r="E1799" s="795"/>
    </row>
    <row r="1800" spans="4:5" hidden="1">
      <c r="D1800" s="795"/>
      <c r="E1800" s="795"/>
    </row>
    <row r="1801" spans="4:5" hidden="1">
      <c r="D1801" s="795"/>
      <c r="E1801" s="795"/>
    </row>
    <row r="1802" spans="4:5" hidden="1">
      <c r="D1802" s="795"/>
      <c r="E1802" s="795"/>
    </row>
    <row r="1803" spans="4:5" hidden="1">
      <c r="D1803" s="795"/>
      <c r="E1803" s="795"/>
    </row>
    <row r="1804" spans="4:5" hidden="1">
      <c r="D1804" s="795"/>
      <c r="E1804" s="795"/>
    </row>
    <row r="1805" spans="4:5" hidden="1">
      <c r="D1805" s="795"/>
      <c r="E1805" s="795"/>
    </row>
    <row r="1806" spans="4:5" hidden="1">
      <c r="D1806" s="795"/>
      <c r="E1806" s="795"/>
    </row>
    <row r="1807" spans="4:5" hidden="1">
      <c r="D1807" s="795"/>
      <c r="E1807" s="795"/>
    </row>
    <row r="1808" spans="4:5" hidden="1">
      <c r="D1808" s="795"/>
      <c r="E1808" s="795"/>
    </row>
    <row r="1809" spans="4:5" hidden="1">
      <c r="D1809" s="795"/>
      <c r="E1809" s="795"/>
    </row>
    <row r="1810" spans="4:5" hidden="1">
      <c r="D1810" s="795"/>
      <c r="E1810" s="795"/>
    </row>
    <row r="1811" spans="4:5" hidden="1">
      <c r="D1811" s="795"/>
      <c r="E1811" s="795"/>
    </row>
    <row r="1812" spans="4:5" hidden="1">
      <c r="D1812" s="795"/>
      <c r="E1812" s="795"/>
    </row>
    <row r="1813" spans="4:5" hidden="1">
      <c r="D1813" s="795"/>
      <c r="E1813" s="795"/>
    </row>
    <row r="1814" spans="4:5" hidden="1">
      <c r="D1814" s="795"/>
      <c r="E1814" s="795"/>
    </row>
    <row r="1815" spans="4:5" hidden="1">
      <c r="D1815" s="795"/>
      <c r="E1815" s="795"/>
    </row>
    <row r="1816" spans="4:5" hidden="1">
      <c r="D1816" s="795"/>
      <c r="E1816" s="795"/>
    </row>
    <row r="1817" spans="4:5" hidden="1">
      <c r="D1817" s="795"/>
      <c r="E1817" s="795"/>
    </row>
    <row r="1818" spans="4:5" hidden="1">
      <c r="D1818" s="795"/>
      <c r="E1818" s="795"/>
    </row>
    <row r="1819" spans="4:5" hidden="1">
      <c r="D1819" s="795"/>
      <c r="E1819" s="795"/>
    </row>
    <row r="1820" spans="4:5" hidden="1">
      <c r="D1820" s="795"/>
      <c r="E1820" s="795"/>
    </row>
    <row r="1821" spans="4:5" hidden="1">
      <c r="D1821" s="795"/>
      <c r="E1821" s="795"/>
    </row>
    <row r="1822" spans="4:5" hidden="1">
      <c r="D1822" s="795"/>
      <c r="E1822" s="795"/>
    </row>
    <row r="1823" spans="4:5" hidden="1">
      <c r="D1823" s="795"/>
      <c r="E1823" s="795"/>
    </row>
    <row r="1824" spans="4:5" hidden="1">
      <c r="D1824" s="795"/>
      <c r="E1824" s="795"/>
    </row>
    <row r="1825" spans="4:5" hidden="1">
      <c r="D1825" s="795"/>
      <c r="E1825" s="795"/>
    </row>
    <row r="1826" spans="4:5" hidden="1">
      <c r="D1826" s="795"/>
      <c r="E1826" s="795"/>
    </row>
    <row r="1827" spans="4:5" hidden="1">
      <c r="D1827" s="795"/>
      <c r="E1827" s="795"/>
    </row>
    <row r="1828" spans="4:5" hidden="1">
      <c r="D1828" s="795"/>
      <c r="E1828" s="795"/>
    </row>
    <row r="1829" spans="4:5" hidden="1">
      <c r="D1829" s="795"/>
      <c r="E1829" s="795"/>
    </row>
    <row r="1830" spans="4:5" hidden="1">
      <c r="D1830" s="795"/>
      <c r="E1830" s="795"/>
    </row>
    <row r="1831" spans="4:5" hidden="1">
      <c r="D1831" s="795"/>
      <c r="E1831" s="795"/>
    </row>
    <row r="1832" spans="4:5" hidden="1">
      <c r="D1832" s="795"/>
      <c r="E1832" s="795"/>
    </row>
    <row r="1833" spans="4:5" hidden="1">
      <c r="D1833" s="795"/>
      <c r="E1833" s="795"/>
    </row>
    <row r="1834" spans="4:5" hidden="1">
      <c r="D1834" s="795"/>
      <c r="E1834" s="795"/>
    </row>
    <row r="1835" spans="4:5" hidden="1">
      <c r="D1835" s="795"/>
      <c r="E1835" s="795"/>
    </row>
    <row r="1836" spans="4:5" hidden="1">
      <c r="D1836" s="795"/>
      <c r="E1836" s="795"/>
    </row>
    <row r="1837" spans="4:5" hidden="1">
      <c r="D1837" s="795"/>
      <c r="E1837" s="795"/>
    </row>
    <row r="1838" spans="4:5" hidden="1">
      <c r="D1838" s="795"/>
      <c r="E1838" s="795"/>
    </row>
    <row r="1839" spans="4:5" hidden="1">
      <c r="D1839" s="795"/>
      <c r="E1839" s="795"/>
    </row>
    <row r="1840" spans="4:5" hidden="1">
      <c r="D1840" s="795"/>
      <c r="E1840" s="795"/>
    </row>
    <row r="1841" spans="4:5" hidden="1">
      <c r="D1841" s="795"/>
      <c r="E1841" s="795"/>
    </row>
    <row r="1842" spans="4:5" hidden="1">
      <c r="D1842" s="795"/>
      <c r="E1842" s="795"/>
    </row>
    <row r="1843" spans="4:5" hidden="1">
      <c r="D1843" s="795"/>
      <c r="E1843" s="795"/>
    </row>
    <row r="1844" spans="4:5" hidden="1">
      <c r="D1844" s="795"/>
      <c r="E1844" s="795"/>
    </row>
    <row r="1845" spans="4:5" hidden="1">
      <c r="D1845" s="795"/>
      <c r="E1845" s="795"/>
    </row>
    <row r="1846" spans="4:5" hidden="1">
      <c r="D1846" s="795"/>
      <c r="E1846" s="795"/>
    </row>
    <row r="1847" spans="4:5" hidden="1">
      <c r="D1847" s="795"/>
      <c r="E1847" s="795"/>
    </row>
    <row r="1848" spans="4:5" hidden="1">
      <c r="D1848" s="795"/>
      <c r="E1848" s="795"/>
    </row>
    <row r="1849" spans="4:5" hidden="1">
      <c r="D1849" s="795"/>
      <c r="E1849" s="795"/>
    </row>
    <row r="1850" spans="4:5" hidden="1">
      <c r="D1850" s="795"/>
      <c r="E1850" s="795"/>
    </row>
    <row r="1851" spans="4:5" hidden="1">
      <c r="D1851" s="795"/>
      <c r="E1851" s="795"/>
    </row>
    <row r="1852" spans="4:5" hidden="1">
      <c r="D1852" s="795"/>
      <c r="E1852" s="795"/>
    </row>
    <row r="1853" spans="4:5" hidden="1">
      <c r="D1853" s="795"/>
      <c r="E1853" s="795"/>
    </row>
    <row r="1854" spans="4:5" hidden="1">
      <c r="D1854" s="795"/>
      <c r="E1854" s="795"/>
    </row>
    <row r="1855" spans="4:5" hidden="1">
      <c r="D1855" s="795"/>
      <c r="E1855" s="795"/>
    </row>
    <row r="1856" spans="4:5" hidden="1">
      <c r="D1856" s="795"/>
      <c r="E1856" s="795"/>
    </row>
    <row r="1857" spans="4:5" hidden="1">
      <c r="D1857" s="795"/>
      <c r="E1857" s="795"/>
    </row>
    <row r="1858" spans="4:5" hidden="1">
      <c r="D1858" s="795"/>
      <c r="E1858" s="795"/>
    </row>
    <row r="1859" spans="4:5" hidden="1">
      <c r="D1859" s="795"/>
      <c r="E1859" s="795"/>
    </row>
    <row r="1860" spans="4:5" hidden="1">
      <c r="D1860" s="795"/>
      <c r="E1860" s="795"/>
    </row>
    <row r="1861" spans="4:5" hidden="1">
      <c r="D1861" s="795"/>
      <c r="E1861" s="795"/>
    </row>
    <row r="1862" spans="4:5" hidden="1">
      <c r="D1862" s="795"/>
      <c r="E1862" s="795"/>
    </row>
    <row r="1863" spans="4:5" hidden="1">
      <c r="D1863" s="795"/>
      <c r="E1863" s="795"/>
    </row>
    <row r="1864" spans="4:5" hidden="1">
      <c r="D1864" s="795"/>
      <c r="E1864" s="795"/>
    </row>
    <row r="1865" spans="4:5" hidden="1">
      <c r="D1865" s="795"/>
      <c r="E1865" s="795"/>
    </row>
    <row r="1866" spans="4:5" hidden="1">
      <c r="D1866" s="795"/>
      <c r="E1866" s="795"/>
    </row>
    <row r="1867" spans="4:5" hidden="1">
      <c r="D1867" s="795"/>
      <c r="E1867" s="795"/>
    </row>
    <row r="1868" spans="4:5" hidden="1">
      <c r="D1868" s="795"/>
      <c r="E1868" s="795"/>
    </row>
    <row r="1869" spans="4:5" hidden="1">
      <c r="D1869" s="795"/>
      <c r="E1869" s="795"/>
    </row>
    <row r="1870" spans="4:5" hidden="1">
      <c r="D1870" s="795"/>
      <c r="E1870" s="795"/>
    </row>
    <row r="1871" spans="4:5" hidden="1">
      <c r="D1871" s="795"/>
      <c r="E1871" s="795"/>
    </row>
    <row r="1872" spans="4:5" hidden="1">
      <c r="D1872" s="795"/>
      <c r="E1872" s="795"/>
    </row>
    <row r="1873" spans="4:5" hidden="1">
      <c r="D1873" s="795"/>
      <c r="E1873" s="795"/>
    </row>
    <row r="1874" spans="4:5" hidden="1">
      <c r="D1874" s="795"/>
      <c r="E1874" s="795"/>
    </row>
    <row r="1875" spans="4:5" hidden="1">
      <c r="D1875" s="795"/>
      <c r="E1875" s="795"/>
    </row>
    <row r="1876" spans="4:5" hidden="1">
      <c r="D1876" s="795"/>
      <c r="E1876" s="795"/>
    </row>
    <row r="1877" spans="4:5" hidden="1">
      <c r="D1877" s="795"/>
      <c r="E1877" s="795"/>
    </row>
    <row r="1878" spans="4:5" hidden="1">
      <c r="D1878" s="795"/>
      <c r="E1878" s="795"/>
    </row>
    <row r="1879" spans="4:5" hidden="1">
      <c r="D1879" s="795"/>
      <c r="E1879" s="795"/>
    </row>
    <row r="1880" spans="4:5" hidden="1">
      <c r="D1880" s="795"/>
      <c r="E1880" s="795"/>
    </row>
    <row r="1881" spans="4:5" hidden="1">
      <c r="D1881" s="795"/>
      <c r="E1881" s="795"/>
    </row>
    <row r="1882" spans="4:5" hidden="1">
      <c r="D1882" s="795"/>
      <c r="E1882" s="795"/>
    </row>
    <row r="1883" spans="4:5" hidden="1">
      <c r="D1883" s="795"/>
      <c r="E1883" s="795"/>
    </row>
    <row r="1884" spans="4:5" hidden="1">
      <c r="D1884" s="795"/>
      <c r="E1884" s="795"/>
    </row>
    <row r="1885" spans="4:5" hidden="1">
      <c r="D1885" s="795"/>
      <c r="E1885" s="795"/>
    </row>
    <row r="1886" spans="4:5" hidden="1">
      <c r="D1886" s="795"/>
      <c r="E1886" s="795"/>
    </row>
    <row r="1887" spans="4:5" hidden="1">
      <c r="D1887" s="795"/>
      <c r="E1887" s="795"/>
    </row>
    <row r="1888" spans="4:5" hidden="1">
      <c r="D1888" s="795"/>
      <c r="E1888" s="795"/>
    </row>
    <row r="1889" spans="4:5" hidden="1">
      <c r="D1889" s="795"/>
      <c r="E1889" s="795"/>
    </row>
    <row r="1890" spans="4:5" hidden="1">
      <c r="D1890" s="795"/>
      <c r="E1890" s="795"/>
    </row>
    <row r="1891" spans="4:5" hidden="1">
      <c r="D1891" s="795"/>
      <c r="E1891" s="795"/>
    </row>
    <row r="1892" spans="4:5" hidden="1">
      <c r="D1892" s="795"/>
      <c r="E1892" s="795"/>
    </row>
    <row r="1893" spans="4:5" hidden="1">
      <c r="D1893" s="795"/>
      <c r="E1893" s="795"/>
    </row>
    <row r="1894" spans="4:5" hidden="1">
      <c r="D1894" s="795"/>
      <c r="E1894" s="795"/>
    </row>
    <row r="1895" spans="4:5" hidden="1">
      <c r="D1895" s="795"/>
      <c r="E1895" s="795"/>
    </row>
    <row r="1896" spans="4:5" hidden="1">
      <c r="D1896" s="795"/>
      <c r="E1896" s="795"/>
    </row>
    <row r="1897" spans="4:5" hidden="1">
      <c r="D1897" s="795"/>
      <c r="E1897" s="795"/>
    </row>
    <row r="1898" spans="4:5" hidden="1">
      <c r="D1898" s="795"/>
      <c r="E1898" s="795"/>
    </row>
    <row r="1899" spans="4:5" hidden="1">
      <c r="D1899" s="795"/>
      <c r="E1899" s="795"/>
    </row>
    <row r="1900" spans="4:5" hidden="1">
      <c r="D1900" s="795"/>
      <c r="E1900" s="795"/>
    </row>
    <row r="1901" spans="4:5" hidden="1">
      <c r="D1901" s="795"/>
      <c r="E1901" s="795"/>
    </row>
    <row r="1902" spans="4:5" hidden="1">
      <c r="D1902" s="795"/>
      <c r="E1902" s="795"/>
    </row>
    <row r="1903" spans="4:5" hidden="1">
      <c r="D1903" s="795"/>
      <c r="E1903" s="795"/>
    </row>
    <row r="1904" spans="4:5" hidden="1">
      <c r="D1904" s="795"/>
      <c r="E1904" s="795"/>
    </row>
    <row r="1905" spans="4:5" hidden="1">
      <c r="D1905" s="795"/>
      <c r="E1905" s="795"/>
    </row>
    <row r="1906" spans="4:5" hidden="1">
      <c r="D1906" s="795"/>
      <c r="E1906" s="795"/>
    </row>
    <row r="1907" spans="4:5" hidden="1">
      <c r="D1907" s="795"/>
      <c r="E1907" s="795"/>
    </row>
    <row r="1908" spans="4:5" hidden="1">
      <c r="D1908" s="795"/>
      <c r="E1908" s="795"/>
    </row>
    <row r="1909" spans="4:5" hidden="1">
      <c r="D1909" s="795"/>
      <c r="E1909" s="795"/>
    </row>
    <row r="1910" spans="4:5" hidden="1">
      <c r="D1910" s="795"/>
      <c r="E1910" s="795"/>
    </row>
    <row r="1911" spans="4:5" hidden="1">
      <c r="D1911" s="795"/>
      <c r="E1911" s="795"/>
    </row>
    <row r="1912" spans="4:5" hidden="1">
      <c r="D1912" s="795"/>
      <c r="E1912" s="795"/>
    </row>
    <row r="1913" spans="4:5" hidden="1">
      <c r="D1913" s="795"/>
      <c r="E1913" s="795"/>
    </row>
    <row r="1914" spans="4:5" hidden="1">
      <c r="D1914" s="795"/>
      <c r="E1914" s="795"/>
    </row>
    <row r="1915" spans="4:5" hidden="1">
      <c r="D1915" s="795"/>
      <c r="E1915" s="795"/>
    </row>
    <row r="1916" spans="4:5" hidden="1">
      <c r="D1916" s="795"/>
      <c r="E1916" s="795"/>
    </row>
    <row r="1917" spans="4:5" hidden="1">
      <c r="D1917" s="795"/>
      <c r="E1917" s="795"/>
    </row>
    <row r="1918" spans="4:5" hidden="1">
      <c r="D1918" s="795"/>
      <c r="E1918" s="795"/>
    </row>
    <row r="1919" spans="4:5" hidden="1">
      <c r="D1919" s="795"/>
      <c r="E1919" s="795"/>
    </row>
    <row r="1920" spans="4:5" hidden="1">
      <c r="D1920" s="795"/>
      <c r="E1920" s="795"/>
    </row>
    <row r="1921" spans="4:5" hidden="1">
      <c r="D1921" s="795"/>
      <c r="E1921" s="795"/>
    </row>
    <row r="1922" spans="4:5" hidden="1">
      <c r="D1922" s="795"/>
      <c r="E1922" s="795"/>
    </row>
    <row r="1923" spans="4:5" hidden="1">
      <c r="D1923" s="795"/>
      <c r="E1923" s="795"/>
    </row>
    <row r="1924" spans="4:5" hidden="1">
      <c r="D1924" s="795"/>
      <c r="E1924" s="795"/>
    </row>
    <row r="1925" spans="4:5" hidden="1">
      <c r="D1925" s="795"/>
      <c r="E1925" s="795"/>
    </row>
    <row r="1926" spans="4:5" hidden="1">
      <c r="D1926" s="795"/>
      <c r="E1926" s="795"/>
    </row>
    <row r="1927" spans="4:5" hidden="1">
      <c r="D1927" s="795"/>
      <c r="E1927" s="795"/>
    </row>
    <row r="1928" spans="4:5" hidden="1">
      <c r="D1928" s="795"/>
      <c r="E1928" s="795"/>
    </row>
    <row r="1929" spans="4:5" hidden="1">
      <c r="D1929" s="795"/>
      <c r="E1929" s="795"/>
    </row>
    <row r="1930" spans="4:5" hidden="1">
      <c r="D1930" s="795"/>
      <c r="E1930" s="795"/>
    </row>
    <row r="1931" spans="4:5" hidden="1">
      <c r="D1931" s="795"/>
      <c r="E1931" s="795"/>
    </row>
    <row r="1932" spans="4:5" hidden="1">
      <c r="D1932" s="795"/>
      <c r="E1932" s="795"/>
    </row>
    <row r="1933" spans="4:5" hidden="1">
      <c r="D1933" s="795"/>
      <c r="E1933" s="795"/>
    </row>
    <row r="1934" spans="4:5" hidden="1">
      <c r="D1934" s="795"/>
      <c r="E1934" s="795"/>
    </row>
    <row r="1935" spans="4:5" hidden="1">
      <c r="D1935" s="795"/>
      <c r="E1935" s="795"/>
    </row>
    <row r="1936" spans="4:5" hidden="1">
      <c r="D1936" s="795"/>
      <c r="E1936" s="795"/>
    </row>
    <row r="1937" spans="4:5" hidden="1">
      <c r="D1937" s="795"/>
      <c r="E1937" s="795"/>
    </row>
    <row r="1938" spans="4:5" hidden="1">
      <c r="D1938" s="795"/>
      <c r="E1938" s="795"/>
    </row>
    <row r="1939" spans="4:5" hidden="1">
      <c r="D1939" s="795"/>
      <c r="E1939" s="795"/>
    </row>
    <row r="1940" spans="4:5" hidden="1">
      <c r="D1940" s="795"/>
      <c r="E1940" s="795"/>
    </row>
    <row r="1941" spans="4:5" hidden="1">
      <c r="D1941" s="795"/>
      <c r="E1941" s="795"/>
    </row>
    <row r="1942" spans="4:5" hidden="1">
      <c r="D1942" s="795"/>
      <c r="E1942" s="795"/>
    </row>
    <row r="1943" spans="4:5" hidden="1">
      <c r="D1943" s="795"/>
      <c r="E1943" s="795"/>
    </row>
    <row r="1944" spans="4:5" hidden="1">
      <c r="D1944" s="795"/>
      <c r="E1944" s="795"/>
    </row>
    <row r="1945" spans="4:5" hidden="1">
      <c r="D1945" s="795"/>
      <c r="E1945" s="795"/>
    </row>
    <row r="1946" spans="4:5" hidden="1">
      <c r="D1946" s="795"/>
      <c r="E1946" s="795"/>
    </row>
    <row r="1947" spans="4:5" hidden="1">
      <c r="D1947" s="795"/>
      <c r="E1947" s="795"/>
    </row>
    <row r="1948" spans="4:5" hidden="1">
      <c r="D1948" s="795"/>
      <c r="E1948" s="795"/>
    </row>
    <row r="1949" spans="4:5" hidden="1">
      <c r="D1949" s="795"/>
      <c r="E1949" s="795"/>
    </row>
    <row r="1950" spans="4:5" hidden="1">
      <c r="D1950" s="795"/>
      <c r="E1950" s="795"/>
    </row>
    <row r="1951" spans="4:5" hidden="1">
      <c r="D1951" s="795"/>
      <c r="E1951" s="795"/>
    </row>
    <row r="1952" spans="4:5" hidden="1">
      <c r="D1952" s="795"/>
      <c r="E1952" s="795"/>
    </row>
    <row r="1953" spans="4:5" hidden="1">
      <c r="D1953" s="795"/>
      <c r="E1953" s="795"/>
    </row>
    <row r="1954" spans="4:5" hidden="1">
      <c r="D1954" s="795"/>
      <c r="E1954" s="795"/>
    </row>
    <row r="1955" spans="4:5" hidden="1">
      <c r="D1955" s="795"/>
      <c r="E1955" s="795"/>
    </row>
    <row r="1956" spans="4:5" hidden="1">
      <c r="D1956" s="795"/>
      <c r="E1956" s="795"/>
    </row>
    <row r="1957" spans="4:5" hidden="1">
      <c r="D1957" s="795"/>
      <c r="E1957" s="795"/>
    </row>
    <row r="1958" spans="4:5" hidden="1">
      <c r="D1958" s="795"/>
      <c r="E1958" s="795"/>
    </row>
    <row r="1959" spans="4:5" hidden="1">
      <c r="D1959" s="795"/>
      <c r="E1959" s="795"/>
    </row>
    <row r="1960" spans="4:5" hidden="1">
      <c r="D1960" s="795"/>
      <c r="E1960" s="795"/>
    </row>
    <row r="1961" spans="4:5" hidden="1">
      <c r="D1961" s="795"/>
      <c r="E1961" s="795"/>
    </row>
    <row r="1962" spans="4:5" hidden="1">
      <c r="D1962" s="795"/>
      <c r="E1962" s="795"/>
    </row>
    <row r="1963" spans="4:5" hidden="1">
      <c r="D1963" s="795"/>
      <c r="E1963" s="795"/>
    </row>
    <row r="1964" spans="4:5" hidden="1">
      <c r="D1964" s="795"/>
      <c r="E1964" s="795"/>
    </row>
    <row r="1965" spans="4:5" hidden="1">
      <c r="D1965" s="795"/>
      <c r="E1965" s="795"/>
    </row>
    <row r="1966" spans="4:5" hidden="1">
      <c r="D1966" s="795"/>
      <c r="E1966" s="795"/>
    </row>
    <row r="1967" spans="4:5" hidden="1">
      <c r="D1967" s="795"/>
      <c r="E1967" s="795"/>
    </row>
    <row r="1968" spans="4:5" hidden="1">
      <c r="D1968" s="795"/>
      <c r="E1968" s="795"/>
    </row>
    <row r="1969" spans="4:5" hidden="1">
      <c r="D1969" s="795"/>
      <c r="E1969" s="795"/>
    </row>
    <row r="1970" spans="4:5" hidden="1">
      <c r="D1970" s="795"/>
      <c r="E1970" s="795"/>
    </row>
    <row r="1971" spans="4:5" hidden="1">
      <c r="D1971" s="795"/>
      <c r="E1971" s="795"/>
    </row>
    <row r="1972" spans="4:5" hidden="1">
      <c r="D1972" s="795"/>
      <c r="E1972" s="795"/>
    </row>
    <row r="1973" spans="4:5" hidden="1">
      <c r="D1973" s="795"/>
      <c r="E1973" s="795"/>
    </row>
    <row r="1974" spans="4:5" hidden="1">
      <c r="D1974" s="795"/>
      <c r="E1974" s="795"/>
    </row>
    <row r="1975" spans="4:5" hidden="1">
      <c r="D1975" s="795"/>
      <c r="E1975" s="795"/>
    </row>
    <row r="1976" spans="4:5" hidden="1">
      <c r="D1976" s="795"/>
      <c r="E1976" s="795"/>
    </row>
    <row r="1977" spans="4:5" hidden="1">
      <c r="D1977" s="795"/>
      <c r="E1977" s="795"/>
    </row>
    <row r="1978" spans="4:5" hidden="1">
      <c r="D1978" s="795"/>
      <c r="E1978" s="795"/>
    </row>
    <row r="1979" spans="4:5" hidden="1">
      <c r="D1979" s="795"/>
      <c r="E1979" s="795"/>
    </row>
    <row r="1980" spans="4:5" hidden="1">
      <c r="D1980" s="795"/>
      <c r="E1980" s="795"/>
    </row>
    <row r="1981" spans="4:5" hidden="1">
      <c r="D1981" s="795"/>
      <c r="E1981" s="795"/>
    </row>
    <row r="1982" spans="4:5" hidden="1">
      <c r="D1982" s="795"/>
      <c r="E1982" s="795"/>
    </row>
    <row r="1983" spans="4:5" hidden="1">
      <c r="D1983" s="795"/>
      <c r="E1983" s="795"/>
    </row>
    <row r="1984" spans="4:5" hidden="1">
      <c r="D1984" s="795"/>
      <c r="E1984" s="795"/>
    </row>
    <row r="1985" spans="4:5" hidden="1">
      <c r="D1985" s="795"/>
      <c r="E1985" s="795"/>
    </row>
    <row r="1986" spans="4:5" hidden="1">
      <c r="D1986" s="795"/>
      <c r="E1986" s="795"/>
    </row>
    <row r="1987" spans="4:5" hidden="1">
      <c r="D1987" s="795"/>
      <c r="E1987" s="795"/>
    </row>
    <row r="1988" spans="4:5" hidden="1">
      <c r="D1988" s="795"/>
      <c r="E1988" s="795"/>
    </row>
    <row r="1989" spans="4:5" hidden="1">
      <c r="D1989" s="795"/>
      <c r="E1989" s="795"/>
    </row>
    <row r="1990" spans="4:5" hidden="1">
      <c r="D1990" s="795"/>
      <c r="E1990" s="795"/>
    </row>
    <row r="1991" spans="4:5" hidden="1">
      <c r="D1991" s="795"/>
      <c r="E1991" s="795"/>
    </row>
    <row r="1992" spans="4:5" hidden="1">
      <c r="D1992" s="795"/>
      <c r="E1992" s="795"/>
    </row>
    <row r="1993" spans="4:5" hidden="1">
      <c r="D1993" s="795"/>
      <c r="E1993" s="795"/>
    </row>
    <row r="1994" spans="4:5" hidden="1">
      <c r="D1994" s="795"/>
      <c r="E1994" s="795"/>
    </row>
    <row r="1995" spans="4:5" hidden="1">
      <c r="D1995" s="795"/>
      <c r="E1995" s="795"/>
    </row>
    <row r="1996" spans="4:5" hidden="1">
      <c r="D1996" s="795"/>
      <c r="E1996" s="795"/>
    </row>
    <row r="1997" spans="4:5" hidden="1">
      <c r="D1997" s="795"/>
      <c r="E1997" s="795"/>
    </row>
    <row r="1998" spans="4:5" hidden="1">
      <c r="D1998" s="795"/>
      <c r="E1998" s="795"/>
    </row>
    <row r="1999" spans="4:5" hidden="1">
      <c r="D1999" s="795"/>
      <c r="E1999" s="795"/>
    </row>
    <row r="2000" spans="4:5" hidden="1">
      <c r="D2000" s="795"/>
      <c r="E2000" s="795"/>
    </row>
    <row r="2001" spans="4:5" hidden="1">
      <c r="D2001" s="795"/>
      <c r="E2001" s="795"/>
    </row>
    <row r="2002" spans="4:5" hidden="1">
      <c r="D2002" s="795"/>
      <c r="E2002" s="795"/>
    </row>
    <row r="2003" spans="4:5" hidden="1">
      <c r="D2003" s="795"/>
      <c r="E2003" s="795"/>
    </row>
    <row r="2004" spans="4:5" hidden="1">
      <c r="D2004" s="795"/>
      <c r="E2004" s="795"/>
    </row>
    <row r="2005" spans="4:5" hidden="1">
      <c r="D2005" s="795"/>
      <c r="E2005" s="795"/>
    </row>
    <row r="2006" spans="4:5" hidden="1">
      <c r="D2006" s="795"/>
      <c r="E2006" s="795"/>
    </row>
    <row r="2007" spans="4:5" hidden="1">
      <c r="D2007" s="795"/>
      <c r="E2007" s="795"/>
    </row>
    <row r="2008" spans="4:5" hidden="1">
      <c r="D2008" s="795"/>
      <c r="E2008" s="795"/>
    </row>
    <row r="2009" spans="4:5" hidden="1">
      <c r="D2009" s="795"/>
      <c r="E2009" s="795"/>
    </row>
    <row r="2010" spans="4:5" hidden="1">
      <c r="D2010" s="795"/>
      <c r="E2010" s="795"/>
    </row>
    <row r="2011" spans="4:5" hidden="1">
      <c r="D2011" s="795"/>
      <c r="E2011" s="795"/>
    </row>
    <row r="2012" spans="4:5" hidden="1">
      <c r="D2012" s="795"/>
      <c r="E2012" s="795"/>
    </row>
    <row r="2013" spans="4:5" hidden="1">
      <c r="D2013" s="795"/>
      <c r="E2013" s="795"/>
    </row>
    <row r="2014" spans="4:5" hidden="1">
      <c r="D2014" s="795"/>
      <c r="E2014" s="795"/>
    </row>
    <row r="2015" spans="4:5" hidden="1">
      <c r="D2015" s="795"/>
      <c r="E2015" s="795"/>
    </row>
    <row r="2016" spans="4:5" hidden="1">
      <c r="D2016" s="795"/>
      <c r="E2016" s="795"/>
    </row>
    <row r="2017" spans="4:5" hidden="1">
      <c r="D2017" s="795"/>
      <c r="E2017" s="795"/>
    </row>
    <row r="2018" spans="4:5" hidden="1">
      <c r="D2018" s="795"/>
      <c r="E2018" s="795"/>
    </row>
    <row r="2019" spans="4:5" hidden="1">
      <c r="D2019" s="795"/>
      <c r="E2019" s="795"/>
    </row>
    <row r="2020" spans="4:5" hidden="1">
      <c r="D2020" s="795"/>
      <c r="E2020" s="795"/>
    </row>
    <row r="2021" spans="4:5" hidden="1">
      <c r="D2021" s="795"/>
      <c r="E2021" s="795"/>
    </row>
    <row r="2022" spans="4:5" hidden="1">
      <c r="D2022" s="795"/>
      <c r="E2022" s="795"/>
    </row>
    <row r="2023" spans="4:5" hidden="1">
      <c r="D2023" s="795"/>
      <c r="E2023" s="795"/>
    </row>
    <row r="2024" spans="4:5" hidden="1">
      <c r="D2024" s="795"/>
      <c r="E2024" s="795"/>
    </row>
    <row r="2025" spans="4:5" hidden="1">
      <c r="D2025" s="795"/>
      <c r="E2025" s="795"/>
    </row>
    <row r="2026" spans="4:5" hidden="1">
      <c r="D2026" s="795"/>
      <c r="E2026" s="795"/>
    </row>
    <row r="2027" spans="4:5" hidden="1">
      <c r="D2027" s="795"/>
      <c r="E2027" s="795"/>
    </row>
    <row r="2028" spans="4:5" hidden="1">
      <c r="D2028" s="795"/>
      <c r="E2028" s="795"/>
    </row>
    <row r="2029" spans="4:5" hidden="1">
      <c r="D2029" s="795"/>
      <c r="E2029" s="795"/>
    </row>
    <row r="2030" spans="4:5" hidden="1">
      <c r="D2030" s="795"/>
      <c r="E2030" s="795"/>
    </row>
    <row r="2031" spans="4:5" hidden="1">
      <c r="D2031" s="795"/>
      <c r="E2031" s="795"/>
    </row>
    <row r="2032" spans="4:5" hidden="1">
      <c r="D2032" s="795"/>
      <c r="E2032" s="795"/>
    </row>
    <row r="2033" spans="4:5" hidden="1">
      <c r="D2033" s="795"/>
      <c r="E2033" s="795"/>
    </row>
    <row r="2034" spans="4:5" hidden="1">
      <c r="D2034" s="795"/>
      <c r="E2034" s="795"/>
    </row>
    <row r="2035" spans="4:5" hidden="1">
      <c r="D2035" s="795"/>
      <c r="E2035" s="795"/>
    </row>
    <row r="2036" spans="4:5" hidden="1">
      <c r="D2036" s="795"/>
      <c r="E2036" s="795"/>
    </row>
    <row r="2037" spans="4:5" hidden="1">
      <c r="D2037" s="795"/>
      <c r="E2037" s="795"/>
    </row>
    <row r="2038" spans="4:5" hidden="1">
      <c r="D2038" s="795"/>
      <c r="E2038" s="795"/>
    </row>
    <row r="2039" spans="4:5" hidden="1">
      <c r="D2039" s="795"/>
      <c r="E2039" s="795"/>
    </row>
    <row r="2040" spans="4:5" hidden="1">
      <c r="D2040" s="795"/>
      <c r="E2040" s="795"/>
    </row>
    <row r="2041" spans="4:5" hidden="1">
      <c r="D2041" s="795"/>
      <c r="E2041" s="795"/>
    </row>
    <row r="2042" spans="4:5" hidden="1">
      <c r="D2042" s="795"/>
      <c r="E2042" s="795"/>
    </row>
    <row r="2043" spans="4:5" hidden="1">
      <c r="D2043" s="795"/>
      <c r="E2043" s="795"/>
    </row>
    <row r="2044" spans="4:5" hidden="1">
      <c r="D2044" s="795"/>
      <c r="E2044" s="795"/>
    </row>
    <row r="2045" spans="4:5" hidden="1">
      <c r="D2045" s="795"/>
      <c r="E2045" s="795"/>
    </row>
    <row r="2046" spans="4:5" hidden="1">
      <c r="D2046" s="795"/>
      <c r="E2046" s="795"/>
    </row>
    <row r="2047" spans="4:5" hidden="1">
      <c r="D2047" s="795"/>
      <c r="E2047" s="795"/>
    </row>
    <row r="2048" spans="4:5" hidden="1">
      <c r="D2048" s="795"/>
      <c r="E2048" s="795"/>
    </row>
    <row r="2049" spans="4:5" hidden="1">
      <c r="D2049" s="795"/>
      <c r="E2049" s="795"/>
    </row>
    <row r="2050" spans="4:5" hidden="1">
      <c r="D2050" s="795"/>
      <c r="E2050" s="795"/>
    </row>
    <row r="2051" spans="4:5" hidden="1">
      <c r="D2051" s="795"/>
      <c r="E2051" s="795"/>
    </row>
    <row r="2052" spans="4:5" hidden="1">
      <c r="D2052" s="795"/>
      <c r="E2052" s="795"/>
    </row>
    <row r="2053" spans="4:5" hidden="1">
      <c r="D2053" s="795"/>
      <c r="E2053" s="795"/>
    </row>
    <row r="2054" spans="4:5" hidden="1">
      <c r="D2054" s="795"/>
      <c r="E2054" s="795"/>
    </row>
    <row r="2055" spans="4:5" hidden="1">
      <c r="D2055" s="795"/>
      <c r="E2055" s="795"/>
    </row>
    <row r="2056" spans="4:5" hidden="1">
      <c r="D2056" s="795"/>
      <c r="E2056" s="795"/>
    </row>
    <row r="2057" spans="4:5" hidden="1">
      <c r="D2057" s="795"/>
      <c r="E2057" s="795"/>
    </row>
    <row r="2058" spans="4:5" hidden="1">
      <c r="D2058" s="795"/>
      <c r="E2058" s="795"/>
    </row>
    <row r="2059" spans="4:5" hidden="1">
      <c r="D2059" s="795"/>
      <c r="E2059" s="795"/>
    </row>
    <row r="2060" spans="4:5" hidden="1">
      <c r="D2060" s="795"/>
      <c r="E2060" s="795"/>
    </row>
    <row r="2061" spans="4:5" hidden="1">
      <c r="D2061" s="795"/>
      <c r="E2061" s="795"/>
    </row>
    <row r="2062" spans="4:5" hidden="1">
      <c r="D2062" s="795"/>
      <c r="E2062" s="795"/>
    </row>
    <row r="2063" spans="4:5" hidden="1">
      <c r="D2063" s="795"/>
      <c r="E2063" s="795"/>
    </row>
    <row r="2064" spans="4:5" hidden="1">
      <c r="D2064" s="795"/>
      <c r="E2064" s="795"/>
    </row>
    <row r="2065" spans="4:5" hidden="1">
      <c r="D2065" s="795"/>
      <c r="E2065" s="795"/>
    </row>
    <row r="2066" spans="4:5" hidden="1">
      <c r="D2066" s="795"/>
      <c r="E2066" s="795"/>
    </row>
    <row r="2067" spans="4:5" hidden="1">
      <c r="D2067" s="795"/>
      <c r="E2067" s="795"/>
    </row>
    <row r="2068" spans="4:5" hidden="1">
      <c r="D2068" s="795"/>
      <c r="E2068" s="795"/>
    </row>
    <row r="2069" spans="4:5" hidden="1">
      <c r="D2069" s="795"/>
      <c r="E2069" s="795"/>
    </row>
    <row r="2070" spans="4:5" hidden="1">
      <c r="D2070" s="795"/>
      <c r="E2070" s="795"/>
    </row>
    <row r="2071" spans="4:5" hidden="1">
      <c r="D2071" s="795"/>
      <c r="E2071" s="795"/>
    </row>
    <row r="2072" spans="4:5" hidden="1">
      <c r="D2072" s="795"/>
      <c r="E2072" s="795"/>
    </row>
    <row r="2073" spans="4:5" hidden="1">
      <c r="D2073" s="795"/>
      <c r="E2073" s="795"/>
    </row>
    <row r="2074" spans="4:5" hidden="1">
      <c r="D2074" s="795"/>
      <c r="E2074" s="795"/>
    </row>
    <row r="2075" spans="4:5" hidden="1">
      <c r="D2075" s="795"/>
      <c r="E2075" s="795"/>
    </row>
    <row r="2076" spans="4:5" hidden="1">
      <c r="D2076" s="795"/>
      <c r="E2076" s="795"/>
    </row>
    <row r="2077" spans="4:5" hidden="1">
      <c r="D2077" s="795"/>
      <c r="E2077" s="795"/>
    </row>
    <row r="2078" spans="4:5" hidden="1">
      <c r="D2078" s="795"/>
      <c r="E2078" s="795"/>
    </row>
    <row r="2079" spans="4:5" hidden="1">
      <c r="D2079" s="795"/>
      <c r="E2079" s="795"/>
    </row>
    <row r="2080" spans="4:5" hidden="1">
      <c r="D2080" s="795"/>
      <c r="E2080" s="795"/>
    </row>
    <row r="2081" spans="4:5" hidden="1">
      <c r="D2081" s="795"/>
      <c r="E2081" s="795"/>
    </row>
    <row r="2082" spans="4:5" hidden="1">
      <c r="D2082" s="795"/>
      <c r="E2082" s="795"/>
    </row>
    <row r="2083" spans="4:5" hidden="1">
      <c r="D2083" s="795"/>
      <c r="E2083" s="795"/>
    </row>
    <row r="2084" spans="4:5" hidden="1">
      <c r="D2084" s="795"/>
      <c r="E2084" s="795"/>
    </row>
    <row r="2085" spans="4:5" hidden="1">
      <c r="D2085" s="795"/>
      <c r="E2085" s="795"/>
    </row>
    <row r="2086" spans="4:5" hidden="1">
      <c r="D2086" s="795"/>
      <c r="E2086" s="795"/>
    </row>
    <row r="2087" spans="4:5" hidden="1">
      <c r="D2087" s="795"/>
      <c r="E2087" s="795"/>
    </row>
    <row r="2088" spans="4:5" hidden="1">
      <c r="D2088" s="795"/>
      <c r="E2088" s="795"/>
    </row>
    <row r="2089" spans="4:5" hidden="1">
      <c r="D2089" s="795"/>
      <c r="E2089" s="795"/>
    </row>
    <row r="2090" spans="4:5" hidden="1">
      <c r="D2090" s="795"/>
      <c r="E2090" s="795"/>
    </row>
    <row r="2091" spans="4:5" hidden="1">
      <c r="D2091" s="795"/>
      <c r="E2091" s="795"/>
    </row>
    <row r="2092" spans="4:5" hidden="1">
      <c r="D2092" s="795"/>
      <c r="E2092" s="795"/>
    </row>
    <row r="2093" spans="4:5" hidden="1">
      <c r="D2093" s="795"/>
      <c r="E2093" s="795"/>
    </row>
    <row r="2094" spans="4:5" hidden="1">
      <c r="D2094" s="795"/>
      <c r="E2094" s="795"/>
    </row>
    <row r="2095" spans="4:5" hidden="1">
      <c r="D2095" s="795"/>
      <c r="E2095" s="795"/>
    </row>
    <row r="2096" spans="4:5" hidden="1">
      <c r="D2096" s="795"/>
      <c r="E2096" s="795"/>
    </row>
    <row r="2097" spans="4:5" hidden="1">
      <c r="D2097" s="795"/>
      <c r="E2097" s="795"/>
    </row>
    <row r="2098" spans="4:5" hidden="1">
      <c r="D2098" s="795"/>
      <c r="E2098" s="795"/>
    </row>
    <row r="2099" spans="4:5" hidden="1">
      <c r="D2099" s="795"/>
      <c r="E2099" s="795"/>
    </row>
    <row r="2100" spans="4:5" hidden="1">
      <c r="D2100" s="795"/>
      <c r="E2100" s="795"/>
    </row>
    <row r="2101" spans="4:5" hidden="1">
      <c r="D2101" s="795"/>
      <c r="E2101" s="795"/>
    </row>
    <row r="2102" spans="4:5" hidden="1">
      <c r="D2102" s="795"/>
      <c r="E2102" s="795"/>
    </row>
    <row r="2103" spans="4:5" hidden="1">
      <c r="D2103" s="795"/>
      <c r="E2103" s="795"/>
    </row>
    <row r="2104" spans="4:5" hidden="1">
      <c r="D2104" s="795"/>
      <c r="E2104" s="795"/>
    </row>
    <row r="2105" spans="4:5" hidden="1">
      <c r="D2105" s="795"/>
      <c r="E2105" s="795"/>
    </row>
    <row r="2106" spans="4:5" hidden="1">
      <c r="D2106" s="795"/>
      <c r="E2106" s="795"/>
    </row>
    <row r="2107" spans="4:5" hidden="1">
      <c r="D2107" s="795"/>
      <c r="E2107" s="795"/>
    </row>
    <row r="2108" spans="4:5" hidden="1">
      <c r="D2108" s="795"/>
      <c r="E2108" s="795"/>
    </row>
    <row r="2109" spans="4:5" hidden="1">
      <c r="D2109" s="795"/>
      <c r="E2109" s="795"/>
    </row>
    <row r="2110" spans="4:5" hidden="1">
      <c r="D2110" s="795"/>
      <c r="E2110" s="795"/>
    </row>
    <row r="2111" spans="4:5" hidden="1">
      <c r="D2111" s="795"/>
      <c r="E2111" s="795"/>
    </row>
    <row r="2112" spans="4:5" hidden="1">
      <c r="D2112" s="795"/>
      <c r="E2112" s="795"/>
    </row>
    <row r="2113" spans="4:5" hidden="1">
      <c r="D2113" s="795"/>
      <c r="E2113" s="795"/>
    </row>
    <row r="2114" spans="4:5" hidden="1">
      <c r="D2114" s="795"/>
      <c r="E2114" s="795"/>
    </row>
    <row r="2115" spans="4:5" hidden="1">
      <c r="D2115" s="795"/>
      <c r="E2115" s="795"/>
    </row>
    <row r="2116" spans="4:5" hidden="1">
      <c r="D2116" s="795"/>
      <c r="E2116" s="795"/>
    </row>
    <row r="2117" spans="4:5" hidden="1">
      <c r="D2117" s="795"/>
      <c r="E2117" s="795"/>
    </row>
    <row r="2118" spans="4:5" hidden="1">
      <c r="D2118" s="795"/>
      <c r="E2118" s="795"/>
    </row>
    <row r="2119" spans="4:5" hidden="1">
      <c r="D2119" s="795"/>
      <c r="E2119" s="795"/>
    </row>
    <row r="2120" spans="4:5" hidden="1">
      <c r="D2120" s="795"/>
      <c r="E2120" s="795"/>
    </row>
    <row r="2121" spans="4:5" hidden="1">
      <c r="D2121" s="795"/>
      <c r="E2121" s="795"/>
    </row>
    <row r="2122" spans="4:5" hidden="1">
      <c r="D2122" s="795"/>
      <c r="E2122" s="795"/>
    </row>
    <row r="2123" spans="4:5" hidden="1">
      <c r="D2123" s="795"/>
      <c r="E2123" s="795"/>
    </row>
    <row r="2124" spans="4:5" hidden="1">
      <c r="D2124" s="795"/>
      <c r="E2124" s="795"/>
    </row>
    <row r="2125" spans="4:5" hidden="1">
      <c r="D2125" s="795"/>
      <c r="E2125" s="795"/>
    </row>
    <row r="2126" spans="4:5" hidden="1">
      <c r="D2126" s="795"/>
      <c r="E2126" s="795"/>
    </row>
    <row r="2127" spans="4:5" hidden="1">
      <c r="D2127" s="795"/>
      <c r="E2127" s="795"/>
    </row>
    <row r="2128" spans="4:5" hidden="1">
      <c r="D2128" s="795"/>
      <c r="E2128" s="795"/>
    </row>
    <row r="2129" spans="4:5" hidden="1">
      <c r="D2129" s="795"/>
      <c r="E2129" s="795"/>
    </row>
    <row r="2130" spans="4:5" hidden="1">
      <c r="D2130" s="795"/>
      <c r="E2130" s="795"/>
    </row>
    <row r="2131" spans="4:5" hidden="1">
      <c r="D2131" s="795"/>
      <c r="E2131" s="795"/>
    </row>
    <row r="2132" spans="4:5" hidden="1">
      <c r="D2132" s="795"/>
      <c r="E2132" s="795"/>
    </row>
    <row r="2133" spans="4:5" hidden="1">
      <c r="D2133" s="795"/>
      <c r="E2133" s="795"/>
    </row>
    <row r="2134" spans="4:5" hidden="1">
      <c r="D2134" s="795"/>
      <c r="E2134" s="795"/>
    </row>
    <row r="2135" spans="4:5" hidden="1">
      <c r="D2135" s="795"/>
      <c r="E2135" s="795"/>
    </row>
    <row r="2136" spans="4:5" hidden="1">
      <c r="D2136" s="795"/>
      <c r="E2136" s="795"/>
    </row>
    <row r="2137" spans="4:5" hidden="1">
      <c r="D2137" s="795"/>
      <c r="E2137" s="795"/>
    </row>
    <row r="2138" spans="4:5" hidden="1">
      <c r="D2138" s="795"/>
      <c r="E2138" s="795"/>
    </row>
    <row r="2139" spans="4:5" hidden="1">
      <c r="D2139" s="795"/>
      <c r="E2139" s="795"/>
    </row>
    <row r="2140" spans="4:5" hidden="1">
      <c r="D2140" s="795"/>
      <c r="E2140" s="795"/>
    </row>
    <row r="2141" spans="4:5" hidden="1">
      <c r="D2141" s="795"/>
      <c r="E2141" s="795"/>
    </row>
    <row r="2142" spans="4:5" hidden="1">
      <c r="D2142" s="795"/>
      <c r="E2142" s="795"/>
    </row>
    <row r="2143" spans="4:5" hidden="1">
      <c r="D2143" s="795"/>
      <c r="E2143" s="795"/>
    </row>
    <row r="2144" spans="4:5" hidden="1">
      <c r="D2144" s="795"/>
      <c r="E2144" s="795"/>
    </row>
    <row r="2145" spans="4:5" hidden="1">
      <c r="D2145" s="795"/>
      <c r="E2145" s="795"/>
    </row>
    <row r="2146" spans="4:5" hidden="1">
      <c r="D2146" s="795"/>
      <c r="E2146" s="795"/>
    </row>
    <row r="2147" spans="4:5" hidden="1">
      <c r="D2147" s="795"/>
      <c r="E2147" s="795"/>
    </row>
    <row r="2148" spans="4:5" hidden="1">
      <c r="D2148" s="795"/>
      <c r="E2148" s="795"/>
    </row>
    <row r="2149" spans="4:5" hidden="1">
      <c r="D2149" s="795"/>
      <c r="E2149" s="795"/>
    </row>
    <row r="2150" spans="4:5" hidden="1">
      <c r="D2150" s="795"/>
      <c r="E2150" s="795"/>
    </row>
    <row r="2151" spans="4:5" hidden="1">
      <c r="D2151" s="795"/>
      <c r="E2151" s="795"/>
    </row>
    <row r="2152" spans="4:5" hidden="1">
      <c r="D2152" s="795"/>
      <c r="E2152" s="795"/>
    </row>
    <row r="2153" spans="4:5" hidden="1">
      <c r="D2153" s="795"/>
      <c r="E2153" s="795"/>
    </row>
    <row r="2154" spans="4:5" hidden="1">
      <c r="D2154" s="795"/>
      <c r="E2154" s="795"/>
    </row>
    <row r="2155" spans="4:5" hidden="1">
      <c r="D2155" s="795"/>
      <c r="E2155" s="795"/>
    </row>
    <row r="2156" spans="4:5" hidden="1">
      <c r="D2156" s="795"/>
      <c r="E2156" s="795"/>
    </row>
    <row r="2157" spans="4:5" hidden="1">
      <c r="D2157" s="795"/>
      <c r="E2157" s="795"/>
    </row>
    <row r="2158" spans="4:5" hidden="1">
      <c r="D2158" s="795"/>
      <c r="E2158" s="795"/>
    </row>
    <row r="2159" spans="4:5" hidden="1">
      <c r="D2159" s="795"/>
      <c r="E2159" s="795"/>
    </row>
    <row r="2160" spans="4:5" hidden="1">
      <c r="D2160" s="795"/>
      <c r="E2160" s="795"/>
    </row>
    <row r="2161" spans="4:5" hidden="1">
      <c r="D2161" s="795"/>
      <c r="E2161" s="795"/>
    </row>
    <row r="2162" spans="4:5" hidden="1">
      <c r="D2162" s="795"/>
      <c r="E2162" s="795"/>
    </row>
    <row r="2163" spans="4:5" hidden="1">
      <c r="D2163" s="795"/>
      <c r="E2163" s="795"/>
    </row>
    <row r="2164" spans="4:5" hidden="1">
      <c r="D2164" s="795"/>
      <c r="E2164" s="795"/>
    </row>
    <row r="2165" spans="4:5" hidden="1">
      <c r="D2165" s="795"/>
      <c r="E2165" s="795"/>
    </row>
    <row r="2166" spans="4:5" hidden="1">
      <c r="D2166" s="795"/>
      <c r="E2166" s="795"/>
    </row>
    <row r="2167" spans="4:5" hidden="1">
      <c r="D2167" s="795"/>
      <c r="E2167" s="795"/>
    </row>
    <row r="2168" spans="4:5" hidden="1">
      <c r="D2168" s="795"/>
      <c r="E2168" s="795"/>
    </row>
    <row r="2169" spans="4:5" hidden="1">
      <c r="D2169" s="795"/>
      <c r="E2169" s="795"/>
    </row>
    <row r="2170" spans="4:5" hidden="1">
      <c r="D2170" s="795"/>
      <c r="E2170" s="795"/>
    </row>
    <row r="2171" spans="4:5" hidden="1">
      <c r="D2171" s="795"/>
      <c r="E2171" s="795"/>
    </row>
    <row r="2172" spans="4:5" hidden="1">
      <c r="D2172" s="795"/>
      <c r="E2172" s="795"/>
    </row>
    <row r="2173" spans="4:5" hidden="1">
      <c r="D2173" s="795"/>
      <c r="E2173" s="795"/>
    </row>
    <row r="2174" spans="4:5" hidden="1">
      <c r="D2174" s="795"/>
      <c r="E2174" s="795"/>
    </row>
    <row r="2175" spans="4:5" hidden="1">
      <c r="D2175" s="795"/>
      <c r="E2175" s="795"/>
    </row>
    <row r="2176" spans="4:5" hidden="1">
      <c r="D2176" s="795"/>
      <c r="E2176" s="795"/>
    </row>
    <row r="2177" spans="4:5" hidden="1">
      <c r="D2177" s="795"/>
      <c r="E2177" s="795"/>
    </row>
    <row r="2178" spans="4:5" hidden="1">
      <c r="D2178" s="795"/>
      <c r="E2178" s="795"/>
    </row>
    <row r="2179" spans="4:5" hidden="1">
      <c r="D2179" s="795"/>
      <c r="E2179" s="795"/>
    </row>
    <row r="2180" spans="4:5" hidden="1">
      <c r="D2180" s="795"/>
      <c r="E2180" s="795"/>
    </row>
    <row r="2181" spans="4:5" hidden="1">
      <c r="D2181" s="795"/>
      <c r="E2181" s="795"/>
    </row>
    <row r="2182" spans="4:5" hidden="1">
      <c r="D2182" s="795"/>
      <c r="E2182" s="795"/>
    </row>
    <row r="2183" spans="4:5" hidden="1">
      <c r="D2183" s="795"/>
      <c r="E2183" s="795"/>
    </row>
    <row r="2184" spans="4:5" hidden="1">
      <c r="D2184" s="795"/>
      <c r="E2184" s="795"/>
    </row>
    <row r="2185" spans="4:5" hidden="1">
      <c r="D2185" s="795"/>
      <c r="E2185" s="795"/>
    </row>
    <row r="2186" spans="4:5" hidden="1">
      <c r="D2186" s="795"/>
      <c r="E2186" s="795"/>
    </row>
    <row r="2187" spans="4:5" hidden="1">
      <c r="D2187" s="795"/>
      <c r="E2187" s="795"/>
    </row>
    <row r="2188" spans="4:5" hidden="1">
      <c r="D2188" s="795"/>
      <c r="E2188" s="795"/>
    </row>
    <row r="2189" spans="4:5" hidden="1">
      <c r="D2189" s="795"/>
      <c r="E2189" s="795"/>
    </row>
    <row r="2190" spans="4:5" hidden="1">
      <c r="D2190" s="795"/>
      <c r="E2190" s="795"/>
    </row>
    <row r="2191" spans="4:5" hidden="1">
      <c r="D2191" s="795"/>
      <c r="E2191" s="795"/>
    </row>
    <row r="2192" spans="4:5" hidden="1">
      <c r="D2192" s="795"/>
      <c r="E2192" s="795"/>
    </row>
    <row r="2193" spans="4:5" hidden="1">
      <c r="D2193" s="795"/>
      <c r="E2193" s="795"/>
    </row>
    <row r="2194" spans="4:5" hidden="1">
      <c r="D2194" s="795"/>
      <c r="E2194" s="795"/>
    </row>
    <row r="2195" spans="4:5" hidden="1">
      <c r="D2195" s="795"/>
      <c r="E2195" s="795"/>
    </row>
    <row r="2196" spans="4:5" hidden="1">
      <c r="D2196" s="795"/>
      <c r="E2196" s="795"/>
    </row>
    <row r="2197" spans="4:5" hidden="1">
      <c r="D2197" s="795"/>
      <c r="E2197" s="795"/>
    </row>
    <row r="2198" spans="4:5" hidden="1">
      <c r="D2198" s="795"/>
      <c r="E2198" s="795"/>
    </row>
    <row r="2199" spans="4:5" hidden="1">
      <c r="D2199" s="795"/>
      <c r="E2199" s="795"/>
    </row>
    <row r="2200" spans="4:5" hidden="1">
      <c r="D2200" s="795"/>
      <c r="E2200" s="795"/>
    </row>
    <row r="2201" spans="4:5" hidden="1">
      <c r="D2201" s="795"/>
      <c r="E2201" s="795"/>
    </row>
    <row r="2202" spans="4:5" hidden="1">
      <c r="D2202" s="795"/>
      <c r="E2202" s="795"/>
    </row>
    <row r="2203" spans="4:5" hidden="1">
      <c r="D2203" s="795"/>
      <c r="E2203" s="795"/>
    </row>
    <row r="2204" spans="4:5" hidden="1">
      <c r="D2204" s="795"/>
      <c r="E2204" s="795"/>
    </row>
    <row r="2205" spans="4:5" hidden="1">
      <c r="D2205" s="795"/>
      <c r="E2205" s="795"/>
    </row>
    <row r="2206" spans="4:5" hidden="1">
      <c r="D2206" s="795"/>
      <c r="E2206" s="795"/>
    </row>
    <row r="2207" spans="4:5" hidden="1">
      <c r="D2207" s="795"/>
      <c r="E2207" s="795"/>
    </row>
    <row r="2208" spans="4:5" hidden="1">
      <c r="D2208" s="795"/>
      <c r="E2208" s="795"/>
    </row>
    <row r="2209" spans="4:5" hidden="1">
      <c r="D2209" s="795"/>
      <c r="E2209" s="795"/>
    </row>
    <row r="2210" spans="4:5" hidden="1">
      <c r="D2210" s="795"/>
      <c r="E2210" s="795"/>
    </row>
    <row r="2211" spans="4:5" hidden="1">
      <c r="D2211" s="795"/>
      <c r="E2211" s="795"/>
    </row>
    <row r="2212" spans="4:5" hidden="1">
      <c r="D2212" s="795"/>
      <c r="E2212" s="795"/>
    </row>
    <row r="2213" spans="4:5" hidden="1">
      <c r="D2213" s="795"/>
      <c r="E2213" s="795"/>
    </row>
    <row r="2214" spans="4:5" hidden="1">
      <c r="D2214" s="795"/>
      <c r="E2214" s="795"/>
    </row>
    <row r="2215" spans="4:5" hidden="1">
      <c r="D2215" s="795"/>
      <c r="E2215" s="795"/>
    </row>
    <row r="2216" spans="4:5" hidden="1">
      <c r="D2216" s="795"/>
      <c r="E2216" s="795"/>
    </row>
    <row r="2217" spans="4:5" hidden="1">
      <c r="D2217" s="795"/>
      <c r="E2217" s="795"/>
    </row>
    <row r="2218" spans="4:5" hidden="1">
      <c r="D2218" s="795"/>
      <c r="E2218" s="795"/>
    </row>
    <row r="2219" spans="4:5" hidden="1">
      <c r="D2219" s="795"/>
      <c r="E2219" s="795"/>
    </row>
    <row r="2220" spans="4:5" hidden="1">
      <c r="D2220" s="795"/>
      <c r="E2220" s="795"/>
    </row>
    <row r="2221" spans="4:5" hidden="1">
      <c r="D2221" s="795"/>
      <c r="E2221" s="795"/>
    </row>
    <row r="2222" spans="4:5" hidden="1">
      <c r="D2222" s="795"/>
      <c r="E2222" s="795"/>
    </row>
    <row r="2223" spans="4:5" hidden="1">
      <c r="D2223" s="795"/>
      <c r="E2223" s="795"/>
    </row>
    <row r="2224" spans="4:5" hidden="1">
      <c r="D2224" s="795"/>
      <c r="E2224" s="795"/>
    </row>
    <row r="2225" spans="4:5" hidden="1">
      <c r="D2225" s="795"/>
      <c r="E2225" s="795"/>
    </row>
    <row r="2226" spans="4:5" hidden="1">
      <c r="D2226" s="795"/>
      <c r="E2226" s="795"/>
    </row>
    <row r="2227" spans="4:5" hidden="1">
      <c r="D2227" s="795"/>
      <c r="E2227" s="795"/>
    </row>
    <row r="2228" spans="4:5" hidden="1">
      <c r="D2228" s="795"/>
      <c r="E2228" s="795"/>
    </row>
    <row r="2229" spans="4:5" hidden="1">
      <c r="D2229" s="795"/>
      <c r="E2229" s="795"/>
    </row>
    <row r="2230" spans="4:5" hidden="1">
      <c r="D2230" s="795"/>
      <c r="E2230" s="795"/>
    </row>
    <row r="2231" spans="4:5" hidden="1">
      <c r="D2231" s="795"/>
      <c r="E2231" s="795"/>
    </row>
    <row r="2232" spans="4:5" hidden="1">
      <c r="D2232" s="795"/>
      <c r="E2232" s="795"/>
    </row>
    <row r="2233" spans="4:5" hidden="1">
      <c r="D2233" s="795"/>
      <c r="E2233" s="795"/>
    </row>
    <row r="2234" spans="4:5" hidden="1">
      <c r="D2234" s="795"/>
      <c r="E2234" s="795"/>
    </row>
    <row r="2235" spans="4:5" hidden="1">
      <c r="D2235" s="795"/>
      <c r="E2235" s="795"/>
    </row>
    <row r="2236" spans="4:5" hidden="1">
      <c r="D2236" s="795"/>
      <c r="E2236" s="795"/>
    </row>
    <row r="2237" spans="4:5" hidden="1">
      <c r="D2237" s="795"/>
      <c r="E2237" s="795"/>
    </row>
    <row r="2238" spans="4:5" hidden="1">
      <c r="D2238" s="795"/>
      <c r="E2238" s="795"/>
    </row>
    <row r="2239" spans="4:5" hidden="1">
      <c r="D2239" s="795"/>
      <c r="E2239" s="795"/>
    </row>
    <row r="2240" spans="4:5" hidden="1">
      <c r="D2240" s="795"/>
      <c r="E2240" s="795"/>
    </row>
    <row r="2241" spans="4:5" hidden="1">
      <c r="D2241" s="795"/>
      <c r="E2241" s="795"/>
    </row>
    <row r="2242" spans="4:5" hidden="1">
      <c r="D2242" s="795"/>
      <c r="E2242" s="795"/>
    </row>
    <row r="2243" spans="4:5" hidden="1">
      <c r="D2243" s="795"/>
      <c r="E2243" s="795"/>
    </row>
    <row r="2244" spans="4:5" hidden="1">
      <c r="D2244" s="795"/>
      <c r="E2244" s="795"/>
    </row>
    <row r="2245" spans="4:5" hidden="1">
      <c r="D2245" s="795"/>
      <c r="E2245" s="795"/>
    </row>
    <row r="2246" spans="4:5" hidden="1">
      <c r="D2246" s="795"/>
      <c r="E2246" s="795"/>
    </row>
    <row r="2247" spans="4:5" hidden="1">
      <c r="D2247" s="795"/>
      <c r="E2247" s="795"/>
    </row>
    <row r="2248" spans="4:5" hidden="1">
      <c r="D2248" s="795"/>
      <c r="E2248" s="795"/>
    </row>
    <row r="2249" spans="4:5" hidden="1">
      <c r="D2249" s="795"/>
      <c r="E2249" s="795"/>
    </row>
    <row r="2250" spans="4:5" hidden="1">
      <c r="D2250" s="795"/>
      <c r="E2250" s="795"/>
    </row>
    <row r="2251" spans="4:5" hidden="1">
      <c r="D2251" s="795"/>
      <c r="E2251" s="795"/>
    </row>
    <row r="2252" spans="4:5" hidden="1">
      <c r="D2252" s="795"/>
      <c r="E2252" s="795"/>
    </row>
    <row r="2253" spans="4:5" hidden="1">
      <c r="D2253" s="795"/>
      <c r="E2253" s="795"/>
    </row>
    <row r="2254" spans="4:5" hidden="1">
      <c r="D2254" s="795"/>
      <c r="E2254" s="795"/>
    </row>
    <row r="2255" spans="4:5" hidden="1">
      <c r="D2255" s="795"/>
      <c r="E2255" s="795"/>
    </row>
    <row r="2256" spans="4:5" hidden="1">
      <c r="D2256" s="795"/>
      <c r="E2256" s="795"/>
    </row>
    <row r="2257" spans="4:5" hidden="1">
      <c r="D2257" s="795"/>
      <c r="E2257" s="795"/>
    </row>
    <row r="2258" spans="4:5" hidden="1">
      <c r="D2258" s="795"/>
      <c r="E2258" s="795"/>
    </row>
    <row r="2259" spans="4:5" hidden="1">
      <c r="D2259" s="795"/>
      <c r="E2259" s="795"/>
    </row>
    <row r="2260" spans="4:5" hidden="1">
      <c r="D2260" s="795"/>
      <c r="E2260" s="795"/>
    </row>
    <row r="2261" spans="4:5" hidden="1">
      <c r="D2261" s="795"/>
      <c r="E2261" s="795"/>
    </row>
    <row r="2262" spans="4:5" hidden="1">
      <c r="D2262" s="795"/>
      <c r="E2262" s="795"/>
    </row>
    <row r="2263" spans="4:5" hidden="1">
      <c r="D2263" s="795"/>
      <c r="E2263" s="795"/>
    </row>
    <row r="2264" spans="4:5" hidden="1">
      <c r="D2264" s="795"/>
      <c r="E2264" s="795"/>
    </row>
    <row r="2265" spans="4:5" hidden="1">
      <c r="D2265" s="795"/>
      <c r="E2265" s="795"/>
    </row>
    <row r="2266" spans="4:5" hidden="1">
      <c r="D2266" s="795"/>
      <c r="E2266" s="795"/>
    </row>
    <row r="2267" spans="4:5" hidden="1">
      <c r="D2267" s="795"/>
      <c r="E2267" s="795"/>
    </row>
    <row r="2268" spans="4:5" hidden="1">
      <c r="D2268" s="795"/>
      <c r="E2268" s="795"/>
    </row>
    <row r="2269" spans="4:5" hidden="1">
      <c r="D2269" s="795"/>
      <c r="E2269" s="795"/>
    </row>
    <row r="2270" spans="4:5" hidden="1">
      <c r="D2270" s="795"/>
      <c r="E2270" s="795"/>
    </row>
    <row r="2271" spans="4:5" hidden="1">
      <c r="D2271" s="795"/>
      <c r="E2271" s="795"/>
    </row>
    <row r="2272" spans="4:5" hidden="1">
      <c r="D2272" s="795"/>
      <c r="E2272" s="795"/>
    </row>
    <row r="2273" spans="4:5" hidden="1">
      <c r="D2273" s="795"/>
      <c r="E2273" s="795"/>
    </row>
    <row r="2274" spans="4:5" hidden="1">
      <c r="D2274" s="795"/>
      <c r="E2274" s="795"/>
    </row>
    <row r="2275" spans="4:5" hidden="1">
      <c r="D2275" s="795"/>
      <c r="E2275" s="795"/>
    </row>
    <row r="2276" spans="4:5" hidden="1">
      <c r="D2276" s="795"/>
      <c r="E2276" s="795"/>
    </row>
    <row r="2277" spans="4:5" hidden="1">
      <c r="D2277" s="795"/>
      <c r="E2277" s="795"/>
    </row>
    <row r="2278" spans="4:5" hidden="1">
      <c r="D2278" s="795"/>
      <c r="E2278" s="795"/>
    </row>
    <row r="2279" spans="4:5" hidden="1">
      <c r="D2279" s="795"/>
      <c r="E2279" s="795"/>
    </row>
    <row r="2280" spans="4:5" hidden="1">
      <c r="D2280" s="795"/>
      <c r="E2280" s="795"/>
    </row>
    <row r="2281" spans="4:5" hidden="1">
      <c r="D2281" s="795"/>
      <c r="E2281" s="795"/>
    </row>
    <row r="2282" spans="4:5" hidden="1">
      <c r="D2282" s="795"/>
      <c r="E2282" s="795"/>
    </row>
    <row r="2283" spans="4:5" hidden="1">
      <c r="D2283" s="795"/>
      <c r="E2283" s="795"/>
    </row>
    <row r="2284" spans="4:5" hidden="1">
      <c r="D2284" s="795"/>
      <c r="E2284" s="795"/>
    </row>
    <row r="2285" spans="4:5" hidden="1">
      <c r="D2285" s="795"/>
      <c r="E2285" s="795"/>
    </row>
    <row r="2286" spans="4:5" hidden="1">
      <c r="D2286" s="795"/>
      <c r="E2286" s="795"/>
    </row>
    <row r="2287" spans="4:5" hidden="1">
      <c r="D2287" s="795"/>
      <c r="E2287" s="795"/>
    </row>
    <row r="2288" spans="4:5" hidden="1">
      <c r="D2288" s="795"/>
      <c r="E2288" s="795"/>
    </row>
    <row r="2289" spans="4:5" hidden="1">
      <c r="D2289" s="795"/>
      <c r="E2289" s="795"/>
    </row>
    <row r="2290" spans="4:5" hidden="1">
      <c r="D2290" s="795"/>
      <c r="E2290" s="795"/>
    </row>
    <row r="2291" spans="4:5" hidden="1">
      <c r="D2291" s="795"/>
      <c r="E2291" s="795"/>
    </row>
    <row r="2292" spans="4:5" hidden="1">
      <c r="D2292" s="795"/>
      <c r="E2292" s="795"/>
    </row>
    <row r="2293" spans="4:5" hidden="1">
      <c r="D2293" s="795"/>
      <c r="E2293" s="795"/>
    </row>
    <row r="2294" spans="4:5" hidden="1">
      <c r="D2294" s="795"/>
      <c r="E2294" s="795"/>
    </row>
    <row r="2295" spans="4:5" hidden="1">
      <c r="D2295" s="795"/>
      <c r="E2295" s="795"/>
    </row>
    <row r="2296" spans="4:5" hidden="1">
      <c r="D2296" s="795"/>
      <c r="E2296" s="795"/>
    </row>
    <row r="2297" spans="4:5" hidden="1">
      <c r="D2297" s="795"/>
      <c r="E2297" s="795"/>
    </row>
    <row r="2298" spans="4:5" hidden="1">
      <c r="D2298" s="795"/>
      <c r="E2298" s="795"/>
    </row>
    <row r="2299" spans="4:5" hidden="1">
      <c r="D2299" s="795"/>
      <c r="E2299" s="795"/>
    </row>
    <row r="2300" spans="4:5" hidden="1">
      <c r="D2300" s="795"/>
      <c r="E2300" s="795"/>
    </row>
    <row r="2301" spans="4:5" hidden="1">
      <c r="D2301" s="795"/>
      <c r="E2301" s="795"/>
    </row>
    <row r="2302" spans="4:5" hidden="1">
      <c r="D2302" s="795"/>
      <c r="E2302" s="795"/>
    </row>
    <row r="2303" spans="4:5" hidden="1">
      <c r="D2303" s="795"/>
      <c r="E2303" s="795"/>
    </row>
    <row r="2304" spans="4:5" hidden="1">
      <c r="D2304" s="795"/>
      <c r="E2304" s="795"/>
    </row>
    <row r="2305" spans="4:5" hidden="1">
      <c r="D2305" s="795"/>
      <c r="E2305" s="795"/>
    </row>
    <row r="2306" spans="4:5" hidden="1">
      <c r="D2306" s="795"/>
      <c r="E2306" s="795"/>
    </row>
    <row r="2307" spans="4:5" hidden="1">
      <c r="D2307" s="795"/>
      <c r="E2307" s="795"/>
    </row>
    <row r="2308" spans="4:5" hidden="1">
      <c r="D2308" s="795"/>
      <c r="E2308" s="795"/>
    </row>
    <row r="2309" spans="4:5" hidden="1">
      <c r="D2309" s="795"/>
      <c r="E2309" s="795"/>
    </row>
    <row r="2310" spans="4:5" hidden="1">
      <c r="D2310" s="795"/>
      <c r="E2310" s="795"/>
    </row>
    <row r="2311" spans="4:5" hidden="1">
      <c r="D2311" s="795"/>
      <c r="E2311" s="795"/>
    </row>
    <row r="2312" spans="4:5" hidden="1">
      <c r="D2312" s="795"/>
      <c r="E2312" s="795"/>
    </row>
    <row r="2313" spans="4:5" hidden="1">
      <c r="D2313" s="795"/>
      <c r="E2313" s="795"/>
    </row>
    <row r="2314" spans="4:5" hidden="1">
      <c r="D2314" s="795"/>
      <c r="E2314" s="795"/>
    </row>
    <row r="2315" spans="4:5" hidden="1">
      <c r="D2315" s="795"/>
      <c r="E2315" s="795"/>
    </row>
    <row r="2316" spans="4:5" hidden="1">
      <c r="D2316" s="795"/>
      <c r="E2316" s="795"/>
    </row>
    <row r="2317" spans="4:5" hidden="1">
      <c r="D2317" s="795"/>
      <c r="E2317" s="795"/>
    </row>
    <row r="2318" spans="4:5" hidden="1">
      <c r="D2318" s="795"/>
      <c r="E2318" s="795"/>
    </row>
    <row r="2319" spans="4:5" hidden="1">
      <c r="D2319" s="795"/>
      <c r="E2319" s="795"/>
    </row>
    <row r="2320" spans="4:5" hidden="1">
      <c r="D2320" s="795"/>
      <c r="E2320" s="795"/>
    </row>
    <row r="2321" spans="4:5" hidden="1">
      <c r="D2321" s="795"/>
      <c r="E2321" s="795"/>
    </row>
    <row r="2322" spans="4:5" hidden="1">
      <c r="D2322" s="795"/>
      <c r="E2322" s="795"/>
    </row>
    <row r="2323" spans="4:5" hidden="1">
      <c r="D2323" s="795"/>
      <c r="E2323" s="795"/>
    </row>
    <row r="2324" spans="4:5" hidden="1">
      <c r="D2324" s="795"/>
      <c r="E2324" s="795"/>
    </row>
    <row r="2325" spans="4:5" hidden="1">
      <c r="D2325" s="795"/>
      <c r="E2325" s="795"/>
    </row>
    <row r="2326" spans="4:5" hidden="1">
      <c r="D2326" s="795"/>
      <c r="E2326" s="795"/>
    </row>
    <row r="2327" spans="4:5" hidden="1">
      <c r="D2327" s="795"/>
      <c r="E2327" s="795"/>
    </row>
    <row r="2328" spans="4:5" hidden="1">
      <c r="D2328" s="795"/>
      <c r="E2328" s="795"/>
    </row>
    <row r="2329" spans="4:5" hidden="1">
      <c r="D2329" s="795"/>
      <c r="E2329" s="795"/>
    </row>
    <row r="2330" spans="4:5" hidden="1">
      <c r="D2330" s="795"/>
      <c r="E2330" s="795"/>
    </row>
    <row r="2331" spans="4:5" hidden="1">
      <c r="D2331" s="795"/>
      <c r="E2331" s="795"/>
    </row>
    <row r="2332" spans="4:5" hidden="1">
      <c r="D2332" s="795"/>
      <c r="E2332" s="795"/>
    </row>
    <row r="2333" spans="4:5" hidden="1">
      <c r="D2333" s="795"/>
      <c r="E2333" s="795"/>
    </row>
    <row r="2334" spans="4:5" hidden="1">
      <c r="D2334" s="795"/>
      <c r="E2334" s="795"/>
    </row>
    <row r="2335" spans="4:5" hidden="1">
      <c r="D2335" s="795"/>
      <c r="E2335" s="795"/>
    </row>
    <row r="2336" spans="4:5" hidden="1">
      <c r="D2336" s="795"/>
      <c r="E2336" s="795"/>
    </row>
    <row r="2337" spans="4:5" hidden="1">
      <c r="D2337" s="795"/>
      <c r="E2337" s="795"/>
    </row>
    <row r="2338" spans="4:5" hidden="1">
      <c r="D2338" s="795"/>
      <c r="E2338" s="795"/>
    </row>
    <row r="2339" spans="4:5" hidden="1">
      <c r="D2339" s="795"/>
      <c r="E2339" s="795"/>
    </row>
    <row r="2340" spans="4:5" hidden="1">
      <c r="D2340" s="795"/>
      <c r="E2340" s="795"/>
    </row>
    <row r="2341" spans="4:5" hidden="1">
      <c r="D2341" s="795"/>
      <c r="E2341" s="795"/>
    </row>
    <row r="2342" spans="4:5" hidden="1">
      <c r="D2342" s="795"/>
      <c r="E2342" s="795"/>
    </row>
    <row r="2343" spans="4:5" hidden="1">
      <c r="D2343" s="795"/>
      <c r="E2343" s="795"/>
    </row>
    <row r="2344" spans="4:5" hidden="1">
      <c r="D2344" s="795"/>
      <c r="E2344" s="795"/>
    </row>
    <row r="2345" spans="4:5" hidden="1">
      <c r="D2345" s="795"/>
      <c r="E2345" s="795"/>
    </row>
    <row r="2346" spans="4:5" hidden="1">
      <c r="D2346" s="795"/>
      <c r="E2346" s="795"/>
    </row>
    <row r="2347" spans="4:5" hidden="1">
      <c r="D2347" s="795"/>
      <c r="E2347" s="795"/>
    </row>
    <row r="2348" spans="4:5" hidden="1">
      <c r="D2348" s="795"/>
      <c r="E2348" s="795"/>
    </row>
    <row r="2349" spans="4:5" hidden="1">
      <c r="D2349" s="795"/>
      <c r="E2349" s="795"/>
    </row>
    <row r="2350" spans="4:5" hidden="1">
      <c r="D2350" s="795"/>
      <c r="E2350" s="795"/>
    </row>
    <row r="2351" spans="4:5" hidden="1">
      <c r="D2351" s="795"/>
      <c r="E2351" s="795"/>
    </row>
    <row r="2352" spans="4:5" hidden="1">
      <c r="D2352" s="795"/>
      <c r="E2352" s="795"/>
    </row>
    <row r="2353" spans="4:5" hidden="1">
      <c r="D2353" s="795"/>
      <c r="E2353" s="795"/>
    </row>
    <row r="2354" spans="4:5" hidden="1">
      <c r="D2354" s="795"/>
      <c r="E2354" s="795"/>
    </row>
    <row r="2355" spans="4:5" hidden="1">
      <c r="D2355" s="795"/>
      <c r="E2355" s="795"/>
    </row>
    <row r="2356" spans="4:5" hidden="1">
      <c r="D2356" s="795"/>
      <c r="E2356" s="795"/>
    </row>
    <row r="2357" spans="4:5" hidden="1">
      <c r="D2357" s="795"/>
      <c r="E2357" s="795"/>
    </row>
    <row r="2358" spans="4:5" hidden="1">
      <c r="D2358" s="795"/>
      <c r="E2358" s="795"/>
    </row>
    <row r="2359" spans="4:5" hidden="1">
      <c r="D2359" s="795"/>
      <c r="E2359" s="795"/>
    </row>
    <row r="2360" spans="4:5" hidden="1">
      <c r="D2360" s="795"/>
      <c r="E2360" s="795"/>
    </row>
    <row r="2361" spans="4:5" hidden="1">
      <c r="D2361" s="795"/>
      <c r="E2361" s="795"/>
    </row>
    <row r="2362" spans="4:5" hidden="1">
      <c r="D2362" s="795"/>
      <c r="E2362" s="795"/>
    </row>
    <row r="2363" spans="4:5" hidden="1">
      <c r="D2363" s="795"/>
      <c r="E2363" s="795"/>
    </row>
    <row r="2364" spans="4:5" hidden="1">
      <c r="D2364" s="795"/>
      <c r="E2364" s="795"/>
    </row>
    <row r="2365" spans="4:5" hidden="1">
      <c r="D2365" s="795"/>
      <c r="E2365" s="795"/>
    </row>
    <row r="2366" spans="4:5" hidden="1">
      <c r="D2366" s="795"/>
      <c r="E2366" s="795"/>
    </row>
    <row r="2367" spans="4:5" hidden="1">
      <c r="D2367" s="795"/>
      <c r="E2367" s="795"/>
    </row>
    <row r="2368" spans="4:5" hidden="1">
      <c r="D2368" s="795"/>
      <c r="E2368" s="795"/>
    </row>
    <row r="2369" spans="4:5" hidden="1">
      <c r="D2369" s="795"/>
      <c r="E2369" s="795"/>
    </row>
    <row r="2370" spans="4:5" hidden="1">
      <c r="D2370" s="795"/>
      <c r="E2370" s="795"/>
    </row>
    <row r="2371" spans="4:5" hidden="1">
      <c r="D2371" s="795"/>
      <c r="E2371" s="795"/>
    </row>
    <row r="2372" spans="4:5" hidden="1">
      <c r="D2372" s="795"/>
      <c r="E2372" s="795"/>
    </row>
    <row r="2373" spans="4:5" hidden="1">
      <c r="D2373" s="795"/>
      <c r="E2373" s="795"/>
    </row>
    <row r="2374" spans="4:5" hidden="1">
      <c r="D2374" s="795"/>
      <c r="E2374" s="795"/>
    </row>
    <row r="2375" spans="4:5" hidden="1">
      <c r="D2375" s="795"/>
      <c r="E2375" s="795"/>
    </row>
    <row r="2376" spans="4:5" hidden="1">
      <c r="D2376" s="795"/>
      <c r="E2376" s="795"/>
    </row>
    <row r="2377" spans="4:5" hidden="1">
      <c r="D2377" s="795"/>
      <c r="E2377" s="795"/>
    </row>
    <row r="2378" spans="4:5" hidden="1">
      <c r="D2378" s="795"/>
      <c r="E2378" s="795"/>
    </row>
    <row r="2379" spans="4:5" hidden="1">
      <c r="D2379" s="795"/>
      <c r="E2379" s="795"/>
    </row>
    <row r="2380" spans="4:5" hidden="1">
      <c r="D2380" s="795"/>
      <c r="E2380" s="795"/>
    </row>
    <row r="2381" spans="4:5" hidden="1">
      <c r="D2381" s="795"/>
      <c r="E2381" s="795"/>
    </row>
    <row r="2382" spans="4:5" hidden="1">
      <c r="D2382" s="795"/>
      <c r="E2382" s="795"/>
    </row>
    <row r="2383" spans="4:5" hidden="1">
      <c r="D2383" s="795"/>
      <c r="E2383" s="795"/>
    </row>
    <row r="2384" spans="4:5" hidden="1">
      <c r="D2384" s="795"/>
      <c r="E2384" s="795"/>
    </row>
    <row r="2385" spans="4:5" hidden="1">
      <c r="D2385" s="795"/>
      <c r="E2385" s="795"/>
    </row>
    <row r="2386" spans="4:5" hidden="1">
      <c r="D2386" s="795"/>
      <c r="E2386" s="795"/>
    </row>
    <row r="2387" spans="4:5" hidden="1">
      <c r="D2387" s="795"/>
      <c r="E2387" s="795"/>
    </row>
    <row r="2388" spans="4:5" hidden="1">
      <c r="D2388" s="795"/>
      <c r="E2388" s="795"/>
    </row>
    <row r="2389" spans="4:5" hidden="1">
      <c r="D2389" s="795"/>
      <c r="E2389" s="795"/>
    </row>
    <row r="2390" spans="4:5" hidden="1">
      <c r="D2390" s="795"/>
      <c r="E2390" s="795"/>
    </row>
    <row r="2391" spans="4:5" hidden="1">
      <c r="D2391" s="795"/>
      <c r="E2391" s="795"/>
    </row>
    <row r="2392" spans="4:5" hidden="1">
      <c r="D2392" s="795"/>
      <c r="E2392" s="795"/>
    </row>
    <row r="2393" spans="4:5" hidden="1">
      <c r="D2393" s="795"/>
      <c r="E2393" s="795"/>
    </row>
    <row r="2394" spans="4:5" hidden="1">
      <c r="D2394" s="795"/>
      <c r="E2394" s="795"/>
    </row>
    <row r="2395" spans="4:5" hidden="1">
      <c r="D2395" s="795"/>
      <c r="E2395" s="795"/>
    </row>
    <row r="2396" spans="4:5" hidden="1">
      <c r="D2396" s="795"/>
      <c r="E2396" s="795"/>
    </row>
    <row r="2397" spans="4:5" hidden="1">
      <c r="D2397" s="795"/>
      <c r="E2397" s="795"/>
    </row>
    <row r="2398" spans="4:5" hidden="1">
      <c r="D2398" s="795"/>
      <c r="E2398" s="795"/>
    </row>
    <row r="2399" spans="4:5" hidden="1">
      <c r="D2399" s="795"/>
      <c r="E2399" s="795"/>
    </row>
    <row r="2400" spans="4:5" hidden="1">
      <c r="D2400" s="795"/>
      <c r="E2400" s="795"/>
    </row>
    <row r="2401" spans="4:5" hidden="1">
      <c r="D2401" s="795"/>
      <c r="E2401" s="795"/>
    </row>
    <row r="2402" spans="4:5" hidden="1">
      <c r="D2402" s="795"/>
      <c r="E2402" s="795"/>
    </row>
    <row r="2403" spans="4:5" hidden="1">
      <c r="D2403" s="795"/>
      <c r="E2403" s="795"/>
    </row>
    <row r="2404" spans="4:5" hidden="1">
      <c r="D2404" s="795"/>
      <c r="E2404" s="795"/>
    </row>
    <row r="2405" spans="4:5" hidden="1">
      <c r="D2405" s="795"/>
      <c r="E2405" s="795"/>
    </row>
    <row r="2406" spans="4:5" hidden="1">
      <c r="D2406" s="795"/>
      <c r="E2406" s="795"/>
    </row>
    <row r="2407" spans="4:5" hidden="1">
      <c r="D2407" s="795"/>
      <c r="E2407" s="795"/>
    </row>
    <row r="2408" spans="4:5" hidden="1">
      <c r="D2408" s="795"/>
      <c r="E2408" s="795"/>
    </row>
    <row r="2409" spans="4:5" hidden="1">
      <c r="D2409" s="795"/>
      <c r="E2409" s="795"/>
    </row>
    <row r="2410" spans="4:5" hidden="1">
      <c r="D2410" s="795"/>
      <c r="E2410" s="795"/>
    </row>
    <row r="2411" spans="4:5" hidden="1">
      <c r="D2411" s="795"/>
      <c r="E2411" s="795"/>
    </row>
    <row r="2412" spans="4:5" hidden="1">
      <c r="D2412" s="795"/>
      <c r="E2412" s="795"/>
    </row>
    <row r="2413" spans="4:5" hidden="1">
      <c r="D2413" s="795"/>
      <c r="E2413" s="795"/>
    </row>
    <row r="2414" spans="4:5" hidden="1">
      <c r="D2414" s="795"/>
      <c r="E2414" s="795"/>
    </row>
    <row r="2415" spans="4:5" hidden="1">
      <c r="D2415" s="795"/>
      <c r="E2415" s="795"/>
    </row>
    <row r="2416" spans="4:5" hidden="1">
      <c r="D2416" s="795"/>
      <c r="E2416" s="795"/>
    </row>
    <row r="2417" spans="4:5" hidden="1">
      <c r="D2417" s="795"/>
      <c r="E2417" s="795"/>
    </row>
    <row r="2418" spans="4:5" hidden="1">
      <c r="D2418" s="795"/>
      <c r="E2418" s="795"/>
    </row>
    <row r="2419" spans="4:5" hidden="1">
      <c r="D2419" s="795"/>
      <c r="E2419" s="795"/>
    </row>
    <row r="2420" spans="4:5" hidden="1">
      <c r="D2420" s="795"/>
      <c r="E2420" s="795"/>
    </row>
    <row r="2421" spans="4:5" hidden="1">
      <c r="D2421" s="795"/>
      <c r="E2421" s="795"/>
    </row>
    <row r="2422" spans="4:5" hidden="1">
      <c r="D2422" s="795"/>
      <c r="E2422" s="795"/>
    </row>
    <row r="2423" spans="4:5" hidden="1">
      <c r="D2423" s="795"/>
      <c r="E2423" s="795"/>
    </row>
    <row r="2424" spans="4:5" hidden="1">
      <c r="D2424" s="795"/>
      <c r="E2424" s="795"/>
    </row>
    <row r="2425" spans="4:5" hidden="1">
      <c r="D2425" s="795"/>
      <c r="E2425" s="795"/>
    </row>
    <row r="2426" spans="4:5" hidden="1">
      <c r="D2426" s="795"/>
      <c r="E2426" s="795"/>
    </row>
    <row r="2427" spans="4:5" hidden="1">
      <c r="D2427" s="795"/>
      <c r="E2427" s="795"/>
    </row>
    <row r="2428" spans="4:5" hidden="1">
      <c r="D2428" s="795"/>
      <c r="E2428" s="795"/>
    </row>
    <row r="2429" spans="4:5" hidden="1">
      <c r="D2429" s="795"/>
      <c r="E2429" s="795"/>
    </row>
    <row r="2430" spans="4:5" hidden="1">
      <c r="D2430" s="795"/>
      <c r="E2430" s="795"/>
    </row>
    <row r="2431" spans="4:5" hidden="1">
      <c r="D2431" s="795"/>
      <c r="E2431" s="795"/>
    </row>
    <row r="2432" spans="4:5" hidden="1">
      <c r="D2432" s="795"/>
      <c r="E2432" s="795"/>
    </row>
    <row r="2433" spans="4:5" hidden="1">
      <c r="D2433" s="795"/>
      <c r="E2433" s="795"/>
    </row>
    <row r="2434" spans="4:5" hidden="1">
      <c r="D2434" s="795"/>
      <c r="E2434" s="795"/>
    </row>
    <row r="2435" spans="4:5" hidden="1">
      <c r="D2435" s="795"/>
      <c r="E2435" s="795"/>
    </row>
    <row r="2436" spans="4:5" hidden="1">
      <c r="D2436" s="795"/>
      <c r="E2436" s="795"/>
    </row>
    <row r="2437" spans="4:5" hidden="1">
      <c r="D2437" s="795"/>
      <c r="E2437" s="795"/>
    </row>
    <row r="2438" spans="4:5" hidden="1">
      <c r="D2438" s="795"/>
      <c r="E2438" s="795"/>
    </row>
    <row r="2439" spans="4:5" hidden="1">
      <c r="D2439" s="795"/>
      <c r="E2439" s="795"/>
    </row>
    <row r="2440" spans="4:5" hidden="1">
      <c r="D2440" s="795"/>
      <c r="E2440" s="795"/>
    </row>
    <row r="2441" spans="4:5" hidden="1">
      <c r="D2441" s="795"/>
      <c r="E2441" s="795"/>
    </row>
    <row r="2442" spans="4:5" hidden="1">
      <c r="D2442" s="795"/>
      <c r="E2442" s="795"/>
    </row>
    <row r="2443" spans="4:5" hidden="1">
      <c r="D2443" s="795"/>
      <c r="E2443" s="795"/>
    </row>
    <row r="2444" spans="4:5" hidden="1">
      <c r="D2444" s="795"/>
      <c r="E2444" s="795"/>
    </row>
    <row r="2445" spans="4:5" hidden="1">
      <c r="D2445" s="795"/>
      <c r="E2445" s="795"/>
    </row>
    <row r="2446" spans="4:5" hidden="1">
      <c r="D2446" s="795"/>
      <c r="E2446" s="795"/>
    </row>
    <row r="2447" spans="4:5" hidden="1">
      <c r="D2447" s="795"/>
      <c r="E2447" s="795"/>
    </row>
    <row r="2448" spans="4:5" hidden="1">
      <c r="D2448" s="795"/>
      <c r="E2448" s="795"/>
    </row>
    <row r="2449" spans="4:5" hidden="1">
      <c r="D2449" s="795"/>
      <c r="E2449" s="795"/>
    </row>
    <row r="2450" spans="4:5" hidden="1">
      <c r="D2450" s="795"/>
      <c r="E2450" s="795"/>
    </row>
    <row r="2451" spans="4:5" hidden="1">
      <c r="D2451" s="795"/>
      <c r="E2451" s="795"/>
    </row>
    <row r="2452" spans="4:5" hidden="1">
      <c r="D2452" s="795"/>
      <c r="E2452" s="795"/>
    </row>
    <row r="2453" spans="4:5" hidden="1">
      <c r="D2453" s="795"/>
      <c r="E2453" s="795"/>
    </row>
    <row r="2454" spans="4:5" hidden="1">
      <c r="D2454" s="795"/>
      <c r="E2454" s="795"/>
    </row>
    <row r="2455" spans="4:5" hidden="1">
      <c r="D2455" s="795"/>
      <c r="E2455" s="795"/>
    </row>
    <row r="2456" spans="4:5" hidden="1">
      <c r="D2456" s="795"/>
      <c r="E2456" s="795"/>
    </row>
    <row r="2457" spans="4:5" hidden="1">
      <c r="D2457" s="795"/>
      <c r="E2457" s="795"/>
    </row>
    <row r="2458" spans="4:5" hidden="1">
      <c r="D2458" s="795"/>
      <c r="E2458" s="795"/>
    </row>
    <row r="2459" spans="4:5" hidden="1">
      <c r="D2459" s="795"/>
      <c r="E2459" s="795"/>
    </row>
    <row r="2460" spans="4:5" hidden="1">
      <c r="D2460" s="795"/>
      <c r="E2460" s="795"/>
    </row>
    <row r="2461" spans="4:5" hidden="1">
      <c r="D2461" s="795"/>
      <c r="E2461" s="795"/>
    </row>
    <row r="2462" spans="4:5" hidden="1">
      <c r="D2462" s="795"/>
      <c r="E2462" s="795"/>
    </row>
    <row r="2463" spans="4:5" hidden="1">
      <c r="D2463" s="795"/>
      <c r="E2463" s="795"/>
    </row>
    <row r="2464" spans="4:5" hidden="1">
      <c r="D2464" s="795"/>
      <c r="E2464" s="795"/>
    </row>
    <row r="2465" spans="4:5" hidden="1">
      <c r="D2465" s="795"/>
      <c r="E2465" s="795"/>
    </row>
    <row r="2466" spans="4:5" hidden="1">
      <c r="D2466" s="795"/>
      <c r="E2466" s="795"/>
    </row>
    <row r="2467" spans="4:5" hidden="1">
      <c r="D2467" s="795"/>
      <c r="E2467" s="795"/>
    </row>
    <row r="2468" spans="4:5" hidden="1">
      <c r="D2468" s="795"/>
      <c r="E2468" s="795"/>
    </row>
    <row r="2469" spans="4:5" hidden="1">
      <c r="D2469" s="795"/>
      <c r="E2469" s="795"/>
    </row>
    <row r="2470" spans="4:5" hidden="1">
      <c r="D2470" s="795"/>
      <c r="E2470" s="795"/>
    </row>
    <row r="2471" spans="4:5" hidden="1">
      <c r="D2471" s="795"/>
      <c r="E2471" s="795"/>
    </row>
    <row r="2472" spans="4:5" hidden="1">
      <c r="D2472" s="795"/>
      <c r="E2472" s="795"/>
    </row>
    <row r="2473" spans="4:5" hidden="1">
      <c r="D2473" s="795"/>
      <c r="E2473" s="795"/>
    </row>
    <row r="2474" spans="4:5" hidden="1">
      <c r="D2474" s="795"/>
      <c r="E2474" s="795"/>
    </row>
    <row r="2475" spans="4:5" hidden="1">
      <c r="D2475" s="795"/>
      <c r="E2475" s="795"/>
    </row>
    <row r="2476" spans="4:5" hidden="1">
      <c r="D2476" s="795"/>
      <c r="E2476" s="795"/>
    </row>
    <row r="2477" spans="4:5" hidden="1">
      <c r="D2477" s="795"/>
      <c r="E2477" s="795"/>
    </row>
    <row r="2478" spans="4:5" hidden="1">
      <c r="D2478" s="795"/>
      <c r="E2478" s="795"/>
    </row>
    <row r="2479" spans="4:5" hidden="1">
      <c r="D2479" s="795"/>
      <c r="E2479" s="795"/>
    </row>
    <row r="2480" spans="4:5" hidden="1">
      <c r="D2480" s="795"/>
      <c r="E2480" s="795"/>
    </row>
    <row r="2481" spans="4:5" hidden="1">
      <c r="D2481" s="795"/>
      <c r="E2481" s="795"/>
    </row>
    <row r="2482" spans="4:5" hidden="1">
      <c r="D2482" s="795"/>
      <c r="E2482" s="795"/>
    </row>
    <row r="2483" spans="4:5" hidden="1">
      <c r="D2483" s="795"/>
      <c r="E2483" s="795"/>
    </row>
    <row r="2484" spans="4:5" hidden="1">
      <c r="D2484" s="795"/>
      <c r="E2484" s="795"/>
    </row>
    <row r="2485" spans="4:5" hidden="1">
      <c r="D2485" s="795"/>
      <c r="E2485" s="795"/>
    </row>
    <row r="2486" spans="4:5" hidden="1">
      <c r="D2486" s="795"/>
      <c r="E2486" s="795"/>
    </row>
    <row r="2487" spans="4:5" hidden="1">
      <c r="D2487" s="795"/>
      <c r="E2487" s="795"/>
    </row>
    <row r="2488" spans="4:5" hidden="1">
      <c r="D2488" s="795"/>
      <c r="E2488" s="795"/>
    </row>
    <row r="2489" spans="4:5" hidden="1">
      <c r="D2489" s="795"/>
      <c r="E2489" s="795"/>
    </row>
    <row r="2490" spans="4:5" hidden="1">
      <c r="D2490" s="795"/>
      <c r="E2490" s="795"/>
    </row>
    <row r="2491" spans="4:5" hidden="1">
      <c r="D2491" s="795"/>
      <c r="E2491" s="795"/>
    </row>
    <row r="2492" spans="4:5" hidden="1">
      <c r="D2492" s="795"/>
      <c r="E2492" s="795"/>
    </row>
    <row r="2493" spans="4:5" hidden="1">
      <c r="D2493" s="795"/>
      <c r="E2493" s="795"/>
    </row>
    <row r="2494" spans="4:5" hidden="1">
      <c r="D2494" s="795"/>
      <c r="E2494" s="795"/>
    </row>
    <row r="2495" spans="4:5" hidden="1">
      <c r="D2495" s="795"/>
      <c r="E2495" s="795"/>
    </row>
    <row r="2496" spans="4:5" hidden="1">
      <c r="D2496" s="795"/>
      <c r="E2496" s="795"/>
    </row>
    <row r="2497" spans="4:5" hidden="1">
      <c r="D2497" s="795"/>
      <c r="E2497" s="795"/>
    </row>
    <row r="2498" spans="4:5" hidden="1">
      <c r="D2498" s="795"/>
      <c r="E2498" s="795"/>
    </row>
    <row r="2499" spans="4:5" hidden="1">
      <c r="D2499" s="795"/>
      <c r="E2499" s="795"/>
    </row>
    <row r="2500" spans="4:5" hidden="1">
      <c r="D2500" s="795"/>
      <c r="E2500" s="795"/>
    </row>
    <row r="2501" spans="4:5" hidden="1">
      <c r="D2501" s="795"/>
      <c r="E2501" s="795"/>
    </row>
    <row r="2502" spans="4:5" hidden="1">
      <c r="D2502" s="795"/>
      <c r="E2502" s="795"/>
    </row>
    <row r="2503" spans="4:5" hidden="1">
      <c r="D2503" s="795"/>
      <c r="E2503" s="795"/>
    </row>
    <row r="2504" spans="4:5" hidden="1">
      <c r="D2504" s="795"/>
      <c r="E2504" s="795"/>
    </row>
    <row r="2505" spans="4:5" hidden="1">
      <c r="D2505" s="795"/>
      <c r="E2505" s="795"/>
    </row>
    <row r="2506" spans="4:5" hidden="1">
      <c r="D2506" s="795"/>
      <c r="E2506" s="795"/>
    </row>
    <row r="2507" spans="4:5" hidden="1">
      <c r="D2507" s="795"/>
      <c r="E2507" s="795"/>
    </row>
    <row r="2508" spans="4:5" hidden="1">
      <c r="D2508" s="795"/>
      <c r="E2508" s="795"/>
    </row>
    <row r="2509" spans="4:5" hidden="1">
      <c r="D2509" s="795"/>
      <c r="E2509" s="795"/>
    </row>
    <row r="2510" spans="4:5" hidden="1">
      <c r="D2510" s="795"/>
      <c r="E2510" s="795"/>
    </row>
    <row r="2511" spans="4:5" hidden="1">
      <c r="D2511" s="795"/>
      <c r="E2511" s="795"/>
    </row>
    <row r="2512" spans="4:5" hidden="1">
      <c r="D2512" s="795"/>
      <c r="E2512" s="795"/>
    </row>
    <row r="2513" spans="4:5" hidden="1">
      <c r="D2513" s="795"/>
      <c r="E2513" s="795"/>
    </row>
    <row r="2514" spans="4:5" hidden="1">
      <c r="D2514" s="795"/>
      <c r="E2514" s="795"/>
    </row>
    <row r="2515" spans="4:5" hidden="1">
      <c r="D2515" s="795"/>
      <c r="E2515" s="795"/>
    </row>
    <row r="2516" spans="4:5" hidden="1">
      <c r="D2516" s="795"/>
      <c r="E2516" s="795"/>
    </row>
    <row r="2517" spans="4:5" hidden="1">
      <c r="D2517" s="795"/>
      <c r="E2517" s="795"/>
    </row>
    <row r="2518" spans="4:5" hidden="1">
      <c r="D2518" s="795"/>
      <c r="E2518" s="795"/>
    </row>
    <row r="2519" spans="4:5" hidden="1">
      <c r="D2519" s="795"/>
      <c r="E2519" s="795"/>
    </row>
    <row r="2520" spans="4:5" hidden="1">
      <c r="D2520" s="795"/>
      <c r="E2520" s="795"/>
    </row>
    <row r="2521" spans="4:5" hidden="1">
      <c r="D2521" s="795"/>
      <c r="E2521" s="795"/>
    </row>
    <row r="2522" spans="4:5" hidden="1">
      <c r="D2522" s="795"/>
      <c r="E2522" s="795"/>
    </row>
    <row r="2523" spans="4:5" hidden="1">
      <c r="D2523" s="795"/>
      <c r="E2523" s="795"/>
    </row>
    <row r="2524" spans="4:5" hidden="1">
      <c r="D2524" s="795"/>
      <c r="E2524" s="795"/>
    </row>
    <row r="2525" spans="4:5" hidden="1">
      <c r="D2525" s="795"/>
      <c r="E2525" s="795"/>
    </row>
    <row r="2526" spans="4:5" hidden="1">
      <c r="D2526" s="795"/>
      <c r="E2526" s="795"/>
    </row>
    <row r="2527" spans="4:5" hidden="1">
      <c r="D2527" s="795"/>
      <c r="E2527" s="795"/>
    </row>
    <row r="2528" spans="4:5" hidden="1">
      <c r="D2528" s="795"/>
      <c r="E2528" s="795"/>
    </row>
    <row r="2529" spans="4:5" hidden="1">
      <c r="D2529" s="795"/>
      <c r="E2529" s="795"/>
    </row>
    <row r="2530" spans="4:5" hidden="1">
      <c r="D2530" s="795"/>
      <c r="E2530" s="795"/>
    </row>
    <row r="2531" spans="4:5" hidden="1">
      <c r="D2531" s="795"/>
      <c r="E2531" s="795"/>
    </row>
    <row r="2532" spans="4:5" hidden="1">
      <c r="D2532" s="795"/>
      <c r="E2532" s="795"/>
    </row>
    <row r="2533" spans="4:5" hidden="1">
      <c r="D2533" s="795"/>
      <c r="E2533" s="795"/>
    </row>
    <row r="2534" spans="4:5" hidden="1">
      <c r="D2534" s="795"/>
      <c r="E2534" s="795"/>
    </row>
    <row r="2535" spans="4:5" hidden="1">
      <c r="D2535" s="795"/>
      <c r="E2535" s="795"/>
    </row>
    <row r="2536" spans="4:5" hidden="1">
      <c r="D2536" s="795"/>
      <c r="E2536" s="795"/>
    </row>
    <row r="2537" spans="4:5" hidden="1">
      <c r="D2537" s="795"/>
      <c r="E2537" s="795"/>
    </row>
    <row r="2538" spans="4:5" hidden="1">
      <c r="D2538" s="795"/>
      <c r="E2538" s="795"/>
    </row>
    <row r="2539" spans="4:5" hidden="1">
      <c r="D2539" s="795"/>
      <c r="E2539" s="795"/>
    </row>
    <row r="2540" spans="4:5" hidden="1">
      <c r="D2540" s="795"/>
      <c r="E2540" s="795"/>
    </row>
    <row r="2541" spans="4:5" hidden="1">
      <c r="D2541" s="795"/>
      <c r="E2541" s="795"/>
    </row>
    <row r="2542" spans="4:5" hidden="1">
      <c r="D2542" s="795"/>
      <c r="E2542" s="795"/>
    </row>
    <row r="2543" spans="4:5" hidden="1">
      <c r="D2543" s="795"/>
      <c r="E2543" s="795"/>
    </row>
    <row r="2544" spans="4:5" hidden="1">
      <c r="D2544" s="795"/>
      <c r="E2544" s="795"/>
    </row>
    <row r="2545" spans="4:5" hidden="1">
      <c r="D2545" s="795"/>
      <c r="E2545" s="795"/>
    </row>
    <row r="2546" spans="4:5" hidden="1">
      <c r="D2546" s="795"/>
      <c r="E2546" s="795"/>
    </row>
    <row r="2547" spans="4:5" hidden="1">
      <c r="D2547" s="795"/>
      <c r="E2547" s="795"/>
    </row>
    <row r="2548" spans="4:5" hidden="1">
      <c r="D2548" s="795"/>
      <c r="E2548" s="795"/>
    </row>
    <row r="2549" spans="4:5" hidden="1">
      <c r="D2549" s="795"/>
      <c r="E2549" s="795"/>
    </row>
    <row r="2550" spans="4:5" hidden="1">
      <c r="D2550" s="795"/>
      <c r="E2550" s="795"/>
    </row>
    <row r="2551" spans="4:5" hidden="1">
      <c r="D2551" s="795"/>
      <c r="E2551" s="795"/>
    </row>
    <row r="2552" spans="4:5" hidden="1">
      <c r="D2552" s="795"/>
      <c r="E2552" s="795"/>
    </row>
    <row r="2553" spans="4:5" hidden="1">
      <c r="D2553" s="795"/>
      <c r="E2553" s="795"/>
    </row>
    <row r="2554" spans="4:5" hidden="1">
      <c r="D2554" s="795"/>
      <c r="E2554" s="795"/>
    </row>
    <row r="2555" spans="4:5" hidden="1">
      <c r="D2555" s="795"/>
      <c r="E2555" s="795"/>
    </row>
    <row r="2556" spans="4:5" hidden="1">
      <c r="D2556" s="795"/>
      <c r="E2556" s="795"/>
    </row>
    <row r="2557" spans="4:5" hidden="1">
      <c r="D2557" s="795"/>
      <c r="E2557" s="795"/>
    </row>
    <row r="2558" spans="4:5" hidden="1">
      <c r="D2558" s="795"/>
      <c r="E2558" s="795"/>
    </row>
    <row r="2559" spans="4:5" hidden="1">
      <c r="D2559" s="795"/>
      <c r="E2559" s="795"/>
    </row>
    <row r="2560" spans="4:5" hidden="1">
      <c r="D2560" s="795"/>
      <c r="E2560" s="795"/>
    </row>
    <row r="2561" spans="4:5" hidden="1">
      <c r="D2561" s="795"/>
      <c r="E2561" s="795"/>
    </row>
    <row r="2562" spans="4:5" hidden="1">
      <c r="D2562" s="795"/>
      <c r="E2562" s="795"/>
    </row>
    <row r="2563" spans="4:5" hidden="1">
      <c r="D2563" s="795"/>
      <c r="E2563" s="795"/>
    </row>
    <row r="2564" spans="4:5" hidden="1">
      <c r="D2564" s="795"/>
      <c r="E2564" s="795"/>
    </row>
    <row r="2565" spans="4:5" hidden="1">
      <c r="D2565" s="795"/>
      <c r="E2565" s="795"/>
    </row>
    <row r="2566" spans="4:5" hidden="1">
      <c r="D2566" s="795"/>
      <c r="E2566" s="795"/>
    </row>
    <row r="2567" spans="4:5" hidden="1">
      <c r="D2567" s="795"/>
      <c r="E2567" s="795"/>
    </row>
    <row r="2568" spans="4:5" hidden="1">
      <c r="D2568" s="795"/>
      <c r="E2568" s="795"/>
    </row>
    <row r="2569" spans="4:5" hidden="1">
      <c r="D2569" s="795"/>
      <c r="E2569" s="795"/>
    </row>
    <row r="2570" spans="4:5" hidden="1">
      <c r="D2570" s="795"/>
      <c r="E2570" s="795"/>
    </row>
    <row r="2571" spans="4:5" hidden="1">
      <c r="D2571" s="795"/>
      <c r="E2571" s="795"/>
    </row>
    <row r="2572" spans="4:5" hidden="1">
      <c r="D2572" s="795"/>
      <c r="E2572" s="795"/>
    </row>
    <row r="2573" spans="4:5" hidden="1">
      <c r="D2573" s="795"/>
      <c r="E2573" s="795"/>
    </row>
    <row r="2574" spans="4:5" hidden="1">
      <c r="D2574" s="795"/>
      <c r="E2574" s="795"/>
    </row>
    <row r="2575" spans="4:5" hidden="1">
      <c r="D2575" s="795"/>
      <c r="E2575" s="795"/>
    </row>
    <row r="2576" spans="4:5" hidden="1">
      <c r="D2576" s="795"/>
      <c r="E2576" s="795"/>
    </row>
    <row r="2577" spans="4:5" hidden="1">
      <c r="D2577" s="795"/>
      <c r="E2577" s="795"/>
    </row>
    <row r="2578" spans="4:5" hidden="1">
      <c r="D2578" s="795"/>
      <c r="E2578" s="795"/>
    </row>
    <row r="2579" spans="4:5" hidden="1">
      <c r="D2579" s="795"/>
      <c r="E2579" s="795"/>
    </row>
    <row r="2580" spans="4:5" hidden="1">
      <c r="D2580" s="795"/>
      <c r="E2580" s="795"/>
    </row>
    <row r="2581" spans="4:5" hidden="1">
      <c r="D2581" s="795"/>
      <c r="E2581" s="795"/>
    </row>
    <row r="2582" spans="4:5" hidden="1">
      <c r="D2582" s="795"/>
      <c r="E2582" s="795"/>
    </row>
    <row r="2583" spans="4:5" hidden="1">
      <c r="D2583" s="795"/>
      <c r="E2583" s="795"/>
    </row>
    <row r="2584" spans="4:5" hidden="1">
      <c r="D2584" s="795"/>
      <c r="E2584" s="795"/>
    </row>
    <row r="2585" spans="4:5" hidden="1">
      <c r="D2585" s="795"/>
      <c r="E2585" s="795"/>
    </row>
    <row r="2586" spans="4:5" hidden="1">
      <c r="D2586" s="795"/>
      <c r="E2586" s="795"/>
    </row>
    <row r="2587" spans="4:5" hidden="1">
      <c r="D2587" s="795"/>
      <c r="E2587" s="795"/>
    </row>
    <row r="2588" spans="4:5" hidden="1">
      <c r="D2588" s="795"/>
      <c r="E2588" s="795"/>
    </row>
    <row r="2589" spans="4:5" hidden="1">
      <c r="D2589" s="795"/>
      <c r="E2589" s="795"/>
    </row>
    <row r="2590" spans="4:5" hidden="1">
      <c r="D2590" s="795"/>
      <c r="E2590" s="795"/>
    </row>
    <row r="2591" spans="4:5" hidden="1">
      <c r="D2591" s="795"/>
      <c r="E2591" s="795"/>
    </row>
    <row r="2592" spans="4:5" hidden="1">
      <c r="D2592" s="795"/>
      <c r="E2592" s="795"/>
    </row>
    <row r="2593" spans="4:5" hidden="1">
      <c r="D2593" s="795"/>
      <c r="E2593" s="795"/>
    </row>
    <row r="2594" spans="4:5" hidden="1">
      <c r="D2594" s="795"/>
      <c r="E2594" s="795"/>
    </row>
    <row r="2595" spans="4:5" hidden="1">
      <c r="D2595" s="795"/>
      <c r="E2595" s="795"/>
    </row>
    <row r="2596" spans="4:5" hidden="1">
      <c r="D2596" s="795"/>
      <c r="E2596" s="795"/>
    </row>
    <row r="2597" spans="4:5" hidden="1">
      <c r="D2597" s="795"/>
      <c r="E2597" s="795"/>
    </row>
    <row r="2598" spans="4:5" hidden="1">
      <c r="D2598" s="795"/>
      <c r="E2598" s="795"/>
    </row>
    <row r="2599" spans="4:5" hidden="1">
      <c r="D2599" s="795"/>
      <c r="E2599" s="795"/>
    </row>
    <row r="2600" spans="4:5" hidden="1">
      <c r="D2600" s="795"/>
      <c r="E2600" s="795"/>
    </row>
    <row r="2601" spans="4:5" hidden="1">
      <c r="D2601" s="795"/>
      <c r="E2601" s="795"/>
    </row>
    <row r="2602" spans="4:5" hidden="1">
      <c r="D2602" s="795"/>
      <c r="E2602" s="795"/>
    </row>
    <row r="2603" spans="4:5" hidden="1">
      <c r="D2603" s="795"/>
      <c r="E2603" s="795"/>
    </row>
    <row r="2604" spans="4:5" hidden="1">
      <c r="D2604" s="795"/>
      <c r="E2604" s="795"/>
    </row>
    <row r="2605" spans="4:5" hidden="1">
      <c r="D2605" s="795"/>
      <c r="E2605" s="795"/>
    </row>
    <row r="2606" spans="4:5" hidden="1">
      <c r="D2606" s="795"/>
      <c r="E2606" s="795"/>
    </row>
    <row r="2607" spans="4:5" hidden="1">
      <c r="D2607" s="795"/>
      <c r="E2607" s="795"/>
    </row>
    <row r="2608" spans="4:5" hidden="1">
      <c r="D2608" s="795"/>
      <c r="E2608" s="795"/>
    </row>
    <row r="2609" spans="4:5" hidden="1">
      <c r="D2609" s="795"/>
      <c r="E2609" s="795"/>
    </row>
    <row r="2610" spans="4:5" hidden="1">
      <c r="D2610" s="795"/>
      <c r="E2610" s="795"/>
    </row>
    <row r="2611" spans="4:5" hidden="1">
      <c r="D2611" s="795"/>
      <c r="E2611" s="795"/>
    </row>
    <row r="2612" spans="4:5" hidden="1">
      <c r="D2612" s="795"/>
      <c r="E2612" s="795"/>
    </row>
    <row r="2613" spans="4:5" hidden="1">
      <c r="D2613" s="795"/>
      <c r="E2613" s="795"/>
    </row>
    <row r="2614" spans="4:5" hidden="1">
      <c r="D2614" s="795"/>
      <c r="E2614" s="795"/>
    </row>
    <row r="2615" spans="4:5" hidden="1">
      <c r="D2615" s="795"/>
      <c r="E2615" s="795"/>
    </row>
    <row r="2616" spans="4:5" hidden="1">
      <c r="D2616" s="795"/>
      <c r="E2616" s="795"/>
    </row>
    <row r="2617" spans="4:5" hidden="1">
      <c r="D2617" s="795"/>
      <c r="E2617" s="795"/>
    </row>
    <row r="2618" spans="4:5" hidden="1">
      <c r="D2618" s="795"/>
      <c r="E2618" s="795"/>
    </row>
    <row r="2619" spans="4:5" hidden="1">
      <c r="D2619" s="795"/>
      <c r="E2619" s="795"/>
    </row>
    <row r="2620" spans="4:5" hidden="1">
      <c r="D2620" s="795"/>
      <c r="E2620" s="795"/>
    </row>
    <row r="2621" spans="4:5" hidden="1">
      <c r="D2621" s="795"/>
      <c r="E2621" s="795"/>
    </row>
    <row r="2622" spans="4:5" hidden="1">
      <c r="D2622" s="795"/>
      <c r="E2622" s="795"/>
    </row>
    <row r="2623" spans="4:5" hidden="1">
      <c r="D2623" s="795"/>
      <c r="E2623" s="795"/>
    </row>
    <row r="2624" spans="4:5" hidden="1">
      <c r="D2624" s="795"/>
      <c r="E2624" s="795"/>
    </row>
    <row r="2625" spans="4:5" hidden="1">
      <c r="D2625" s="795"/>
      <c r="E2625" s="795"/>
    </row>
    <row r="2626" spans="4:5" hidden="1">
      <c r="D2626" s="795"/>
      <c r="E2626" s="795"/>
    </row>
    <row r="2627" spans="4:5" hidden="1">
      <c r="D2627" s="795"/>
      <c r="E2627" s="795"/>
    </row>
    <row r="2628" spans="4:5" hidden="1">
      <c r="D2628" s="795"/>
      <c r="E2628" s="795"/>
    </row>
    <row r="2629" spans="4:5" hidden="1">
      <c r="D2629" s="795"/>
      <c r="E2629" s="795"/>
    </row>
    <row r="2630" spans="4:5" hidden="1">
      <c r="D2630" s="795"/>
      <c r="E2630" s="795"/>
    </row>
    <row r="2631" spans="4:5" hidden="1">
      <c r="D2631" s="795"/>
      <c r="E2631" s="795"/>
    </row>
    <row r="2632" spans="4:5" hidden="1">
      <c r="D2632" s="795"/>
      <c r="E2632" s="795"/>
    </row>
    <row r="2633" spans="4:5" hidden="1">
      <c r="D2633" s="795"/>
      <c r="E2633" s="795"/>
    </row>
    <row r="2634" spans="4:5" hidden="1">
      <c r="D2634" s="795"/>
      <c r="E2634" s="795"/>
    </row>
    <row r="2635" spans="4:5" hidden="1">
      <c r="D2635" s="795"/>
      <c r="E2635" s="795"/>
    </row>
    <row r="2636" spans="4:5" hidden="1">
      <c r="D2636" s="795"/>
      <c r="E2636" s="795"/>
    </row>
    <row r="2637" spans="4:5" hidden="1">
      <c r="D2637" s="795"/>
      <c r="E2637" s="795"/>
    </row>
    <row r="2638" spans="4:5" hidden="1">
      <c r="D2638" s="795"/>
      <c r="E2638" s="795"/>
    </row>
    <row r="2639" spans="4:5" hidden="1">
      <c r="D2639" s="795"/>
      <c r="E2639" s="795"/>
    </row>
    <row r="2640" spans="4:5" hidden="1">
      <c r="D2640" s="795"/>
      <c r="E2640" s="795"/>
    </row>
    <row r="2641" spans="4:5" hidden="1">
      <c r="D2641" s="795"/>
      <c r="E2641" s="795"/>
    </row>
    <row r="2642" spans="4:5" hidden="1">
      <c r="D2642" s="795"/>
      <c r="E2642" s="795"/>
    </row>
    <row r="2643" spans="4:5" hidden="1">
      <c r="D2643" s="795"/>
      <c r="E2643" s="795"/>
    </row>
    <row r="2644" spans="4:5" hidden="1">
      <c r="D2644" s="795"/>
      <c r="E2644" s="795"/>
    </row>
    <row r="2645" spans="4:5" hidden="1">
      <c r="D2645" s="795"/>
      <c r="E2645" s="795"/>
    </row>
    <row r="2646" spans="4:5" hidden="1">
      <c r="D2646" s="795"/>
      <c r="E2646" s="795"/>
    </row>
    <row r="2647" spans="4:5" hidden="1">
      <c r="D2647" s="795"/>
      <c r="E2647" s="795"/>
    </row>
    <row r="2648" spans="4:5" hidden="1">
      <c r="D2648" s="795"/>
      <c r="E2648" s="795"/>
    </row>
    <row r="2649" spans="4:5" hidden="1">
      <c r="D2649" s="795"/>
      <c r="E2649" s="795"/>
    </row>
    <row r="2650" spans="4:5" hidden="1">
      <c r="D2650" s="795"/>
      <c r="E2650" s="795"/>
    </row>
    <row r="2651" spans="4:5" hidden="1">
      <c r="D2651" s="795"/>
      <c r="E2651" s="795"/>
    </row>
    <row r="2652" spans="4:5" hidden="1">
      <c r="D2652" s="795"/>
      <c r="E2652" s="795"/>
    </row>
    <row r="2653" spans="4:5" hidden="1">
      <c r="D2653" s="795"/>
      <c r="E2653" s="795"/>
    </row>
    <row r="2654" spans="4:5" hidden="1">
      <c r="D2654" s="795"/>
      <c r="E2654" s="795"/>
    </row>
    <row r="2655" spans="4:5" hidden="1">
      <c r="D2655" s="795"/>
      <c r="E2655" s="795"/>
    </row>
    <row r="2656" spans="4:5" hidden="1">
      <c r="D2656" s="795"/>
      <c r="E2656" s="795"/>
    </row>
    <row r="2657" spans="4:5" hidden="1">
      <c r="D2657" s="795"/>
      <c r="E2657" s="795"/>
    </row>
    <row r="2658" spans="4:5" hidden="1">
      <c r="D2658" s="795"/>
      <c r="E2658" s="795"/>
    </row>
    <row r="2659" spans="4:5" hidden="1">
      <c r="D2659" s="795"/>
      <c r="E2659" s="795"/>
    </row>
    <row r="2660" spans="4:5" hidden="1">
      <c r="D2660" s="795"/>
      <c r="E2660" s="795"/>
    </row>
    <row r="2661" spans="4:5" hidden="1">
      <c r="D2661" s="795"/>
      <c r="E2661" s="795"/>
    </row>
    <row r="2662" spans="4:5" hidden="1">
      <c r="D2662" s="795"/>
      <c r="E2662" s="795"/>
    </row>
    <row r="2663" spans="4:5" hidden="1">
      <c r="D2663" s="795"/>
      <c r="E2663" s="795"/>
    </row>
    <row r="2664" spans="4:5" hidden="1">
      <c r="D2664" s="795"/>
      <c r="E2664" s="795"/>
    </row>
    <row r="2665" spans="4:5" hidden="1">
      <c r="D2665" s="795"/>
      <c r="E2665" s="795"/>
    </row>
    <row r="2666" spans="4:5" hidden="1">
      <c r="D2666" s="795"/>
      <c r="E2666" s="795"/>
    </row>
    <row r="2667" spans="4:5" hidden="1">
      <c r="D2667" s="795"/>
      <c r="E2667" s="795"/>
    </row>
    <row r="2668" spans="4:5" hidden="1">
      <c r="D2668" s="795"/>
      <c r="E2668" s="795"/>
    </row>
    <row r="2669" spans="4:5" hidden="1">
      <c r="D2669" s="795"/>
      <c r="E2669" s="795"/>
    </row>
    <row r="2670" spans="4:5" hidden="1">
      <c r="D2670" s="795"/>
      <c r="E2670" s="795"/>
    </row>
    <row r="2671" spans="4:5" hidden="1">
      <c r="D2671" s="795"/>
      <c r="E2671" s="795"/>
    </row>
    <row r="2672" spans="4:5" hidden="1">
      <c r="D2672" s="795"/>
      <c r="E2672" s="795"/>
    </row>
    <row r="2673" spans="4:5" hidden="1">
      <c r="D2673" s="795"/>
      <c r="E2673" s="795"/>
    </row>
    <row r="2674" spans="4:5" hidden="1">
      <c r="D2674" s="795"/>
      <c r="E2674" s="795"/>
    </row>
    <row r="2675" spans="4:5" hidden="1">
      <c r="D2675" s="795"/>
      <c r="E2675" s="795"/>
    </row>
    <row r="2676" spans="4:5" hidden="1">
      <c r="D2676" s="795"/>
      <c r="E2676" s="795"/>
    </row>
    <row r="2677" spans="4:5" hidden="1">
      <c r="D2677" s="795"/>
      <c r="E2677" s="795"/>
    </row>
    <row r="2678" spans="4:5" hidden="1">
      <c r="D2678" s="795"/>
      <c r="E2678" s="795"/>
    </row>
    <row r="2679" spans="4:5" hidden="1">
      <c r="D2679" s="795"/>
      <c r="E2679" s="795"/>
    </row>
    <row r="2680" spans="4:5" hidden="1">
      <c r="D2680" s="795"/>
      <c r="E2680" s="795"/>
    </row>
    <row r="2681" spans="4:5" hidden="1">
      <c r="D2681" s="795"/>
      <c r="E2681" s="795"/>
    </row>
    <row r="2682" spans="4:5" hidden="1">
      <c r="D2682" s="795"/>
      <c r="E2682" s="795"/>
    </row>
    <row r="2683" spans="4:5" hidden="1">
      <c r="D2683" s="795"/>
      <c r="E2683" s="795"/>
    </row>
    <row r="2684" spans="4:5" hidden="1">
      <c r="D2684" s="795"/>
      <c r="E2684" s="795"/>
    </row>
    <row r="2685" spans="4:5" hidden="1">
      <c r="D2685" s="795"/>
      <c r="E2685" s="795"/>
    </row>
    <row r="2686" spans="4:5" hidden="1">
      <c r="D2686" s="795"/>
      <c r="E2686" s="795"/>
    </row>
    <row r="2687" spans="4:5" hidden="1">
      <c r="D2687" s="795"/>
      <c r="E2687" s="795"/>
    </row>
    <row r="2688" spans="4:5" hidden="1">
      <c r="D2688" s="795"/>
      <c r="E2688" s="795"/>
    </row>
    <row r="2689" spans="4:5" hidden="1">
      <c r="D2689" s="795"/>
      <c r="E2689" s="795"/>
    </row>
    <row r="2690" spans="4:5" hidden="1">
      <c r="D2690" s="795"/>
      <c r="E2690" s="795"/>
    </row>
    <row r="2691" spans="4:5" hidden="1">
      <c r="D2691" s="795"/>
      <c r="E2691" s="795"/>
    </row>
    <row r="2692" spans="4:5" hidden="1">
      <c r="D2692" s="795"/>
      <c r="E2692" s="795"/>
    </row>
    <row r="2693" spans="4:5" hidden="1">
      <c r="D2693" s="795"/>
      <c r="E2693" s="795"/>
    </row>
    <row r="2694" spans="4:5" hidden="1">
      <c r="D2694" s="795"/>
      <c r="E2694" s="795"/>
    </row>
    <row r="2695" spans="4:5" hidden="1">
      <c r="D2695" s="795"/>
      <c r="E2695" s="795"/>
    </row>
    <row r="2696" spans="4:5" hidden="1">
      <c r="D2696" s="795"/>
      <c r="E2696" s="795"/>
    </row>
    <row r="2697" spans="4:5" hidden="1">
      <c r="D2697" s="795"/>
      <c r="E2697" s="795"/>
    </row>
    <row r="2698" spans="4:5" hidden="1">
      <c r="D2698" s="795"/>
      <c r="E2698" s="795"/>
    </row>
    <row r="2699" spans="4:5" hidden="1">
      <c r="D2699" s="795"/>
      <c r="E2699" s="795"/>
    </row>
    <row r="2700" spans="4:5" hidden="1">
      <c r="D2700" s="795"/>
      <c r="E2700" s="795"/>
    </row>
    <row r="2701" spans="4:5" hidden="1">
      <c r="D2701" s="795"/>
      <c r="E2701" s="795"/>
    </row>
    <row r="2702" spans="4:5" hidden="1">
      <c r="D2702" s="795"/>
      <c r="E2702" s="795"/>
    </row>
    <row r="2703" spans="4:5" hidden="1">
      <c r="D2703" s="795"/>
      <c r="E2703" s="795"/>
    </row>
    <row r="2704" spans="4:5" hidden="1">
      <c r="D2704" s="795"/>
      <c r="E2704" s="795"/>
    </row>
    <row r="2705" spans="4:5" hidden="1">
      <c r="D2705" s="795"/>
      <c r="E2705" s="795"/>
    </row>
    <row r="2706" spans="4:5" hidden="1">
      <c r="D2706" s="795"/>
      <c r="E2706" s="795"/>
    </row>
    <row r="2707" spans="4:5" hidden="1">
      <c r="D2707" s="795"/>
      <c r="E2707" s="795"/>
    </row>
    <row r="2708" spans="4:5" hidden="1">
      <c r="D2708" s="795"/>
      <c r="E2708" s="795"/>
    </row>
    <row r="2709" spans="4:5" hidden="1">
      <c r="D2709" s="795"/>
      <c r="E2709" s="795"/>
    </row>
    <row r="2710" spans="4:5" hidden="1">
      <c r="D2710" s="795"/>
      <c r="E2710" s="795"/>
    </row>
    <row r="2711" spans="4:5" hidden="1">
      <c r="D2711" s="795"/>
      <c r="E2711" s="795"/>
    </row>
    <row r="2712" spans="4:5" hidden="1">
      <c r="D2712" s="795"/>
      <c r="E2712" s="795"/>
    </row>
    <row r="2713" spans="4:5" hidden="1">
      <c r="D2713" s="795"/>
      <c r="E2713" s="795"/>
    </row>
    <row r="2714" spans="4:5" hidden="1">
      <c r="D2714" s="795"/>
      <c r="E2714" s="795"/>
    </row>
    <row r="2715" spans="4:5" hidden="1">
      <c r="D2715" s="795"/>
      <c r="E2715" s="795"/>
    </row>
    <row r="2716" spans="4:5" hidden="1">
      <c r="D2716" s="795"/>
      <c r="E2716" s="795"/>
    </row>
    <row r="2717" spans="4:5" hidden="1">
      <c r="D2717" s="795"/>
      <c r="E2717" s="795"/>
    </row>
    <row r="2718" spans="4:5" hidden="1">
      <c r="D2718" s="795"/>
      <c r="E2718" s="795"/>
    </row>
    <row r="2719" spans="4:5" hidden="1">
      <c r="D2719" s="795"/>
      <c r="E2719" s="795"/>
    </row>
    <row r="2720" spans="4:5" hidden="1">
      <c r="D2720" s="795"/>
      <c r="E2720" s="795"/>
    </row>
    <row r="2721" spans="4:5" hidden="1">
      <c r="D2721" s="795"/>
      <c r="E2721" s="795"/>
    </row>
    <row r="2722" spans="4:5" hidden="1">
      <c r="D2722" s="795"/>
      <c r="E2722" s="795"/>
    </row>
    <row r="2723" spans="4:5" hidden="1">
      <c r="D2723" s="795"/>
      <c r="E2723" s="795"/>
    </row>
    <row r="2724" spans="4:5" hidden="1">
      <c r="D2724" s="795"/>
      <c r="E2724" s="795"/>
    </row>
    <row r="2725" spans="4:5" hidden="1">
      <c r="D2725" s="795"/>
      <c r="E2725" s="795"/>
    </row>
    <row r="2726" spans="4:5" hidden="1">
      <c r="D2726" s="795"/>
      <c r="E2726" s="795"/>
    </row>
    <row r="2727" spans="4:5" hidden="1">
      <c r="D2727" s="795"/>
      <c r="E2727" s="795"/>
    </row>
    <row r="2728" spans="4:5" hidden="1">
      <c r="D2728" s="795"/>
      <c r="E2728" s="795"/>
    </row>
    <row r="2729" spans="4:5" hidden="1">
      <c r="D2729" s="795"/>
      <c r="E2729" s="795"/>
    </row>
    <row r="2730" spans="4:5" hidden="1">
      <c r="D2730" s="795"/>
      <c r="E2730" s="795"/>
    </row>
    <row r="2731" spans="4:5" hidden="1">
      <c r="D2731" s="795"/>
      <c r="E2731" s="795"/>
    </row>
    <row r="2732" spans="4:5" hidden="1">
      <c r="D2732" s="795"/>
      <c r="E2732" s="795"/>
    </row>
    <row r="2733" spans="4:5" hidden="1">
      <c r="D2733" s="795"/>
      <c r="E2733" s="795"/>
    </row>
    <row r="2734" spans="4:5" hidden="1">
      <c r="D2734" s="795"/>
      <c r="E2734" s="795"/>
    </row>
    <row r="2735" spans="4:5" hidden="1">
      <c r="D2735" s="795"/>
      <c r="E2735" s="795"/>
    </row>
    <row r="2736" spans="4:5" hidden="1">
      <c r="D2736" s="795"/>
      <c r="E2736" s="795"/>
    </row>
    <row r="2737" spans="4:5" hidden="1">
      <c r="D2737" s="795"/>
      <c r="E2737" s="795"/>
    </row>
    <row r="2738" spans="4:5" hidden="1">
      <c r="D2738" s="795"/>
      <c r="E2738" s="795"/>
    </row>
    <row r="2739" spans="4:5" hidden="1">
      <c r="D2739" s="795"/>
      <c r="E2739" s="795"/>
    </row>
    <row r="2740" spans="4:5" hidden="1">
      <c r="D2740" s="795"/>
      <c r="E2740" s="795"/>
    </row>
    <row r="2741" spans="4:5" hidden="1">
      <c r="D2741" s="795"/>
      <c r="E2741" s="795"/>
    </row>
    <row r="2742" spans="4:5" hidden="1">
      <c r="D2742" s="795"/>
      <c r="E2742" s="795"/>
    </row>
    <row r="2743" spans="4:5" hidden="1">
      <c r="D2743" s="795"/>
      <c r="E2743" s="795"/>
    </row>
    <row r="2744" spans="4:5" hidden="1">
      <c r="D2744" s="795"/>
      <c r="E2744" s="795"/>
    </row>
    <row r="2745" spans="4:5" hidden="1">
      <c r="D2745" s="795"/>
      <c r="E2745" s="795"/>
    </row>
    <row r="2746" spans="4:5" hidden="1">
      <c r="D2746" s="795"/>
      <c r="E2746" s="795"/>
    </row>
    <row r="2747" spans="4:5" hidden="1">
      <c r="D2747" s="795"/>
      <c r="E2747" s="795"/>
    </row>
    <row r="2748" spans="4:5" hidden="1">
      <c r="D2748" s="795"/>
      <c r="E2748" s="795"/>
    </row>
    <row r="2749" spans="4:5" hidden="1">
      <c r="D2749" s="795"/>
      <c r="E2749" s="795"/>
    </row>
    <row r="2750" spans="4:5" hidden="1">
      <c r="D2750" s="795"/>
      <c r="E2750" s="795"/>
    </row>
    <row r="2751" spans="4:5" hidden="1">
      <c r="D2751" s="795"/>
      <c r="E2751" s="795"/>
    </row>
    <row r="2752" spans="4:5" hidden="1">
      <c r="D2752" s="795"/>
      <c r="E2752" s="795"/>
    </row>
    <row r="2753" spans="4:5" hidden="1">
      <c r="D2753" s="795"/>
      <c r="E2753" s="795"/>
    </row>
    <row r="2754" spans="4:5" hidden="1">
      <c r="D2754" s="795"/>
      <c r="E2754" s="795"/>
    </row>
    <row r="2755" spans="4:5" hidden="1">
      <c r="D2755" s="795"/>
      <c r="E2755" s="795"/>
    </row>
    <row r="2756" spans="4:5" hidden="1">
      <c r="D2756" s="795"/>
      <c r="E2756" s="795"/>
    </row>
    <row r="2757" spans="4:5" hidden="1">
      <c r="D2757" s="795"/>
      <c r="E2757" s="795"/>
    </row>
    <row r="2758" spans="4:5" hidden="1">
      <c r="D2758" s="795"/>
      <c r="E2758" s="795"/>
    </row>
    <row r="2759" spans="4:5" hidden="1">
      <c r="D2759" s="795"/>
      <c r="E2759" s="795"/>
    </row>
    <row r="2760" spans="4:5" hidden="1">
      <c r="D2760" s="795"/>
      <c r="E2760" s="795"/>
    </row>
    <row r="2761" spans="4:5" hidden="1">
      <c r="D2761" s="795"/>
      <c r="E2761" s="795"/>
    </row>
    <row r="2762" spans="4:5" hidden="1">
      <c r="D2762" s="795"/>
      <c r="E2762" s="795"/>
    </row>
    <row r="2763" spans="4:5" hidden="1">
      <c r="D2763" s="795"/>
      <c r="E2763" s="795"/>
    </row>
    <row r="2764" spans="4:5" hidden="1">
      <c r="D2764" s="795"/>
      <c r="E2764" s="795"/>
    </row>
    <row r="2765" spans="4:5" hidden="1">
      <c r="D2765" s="795"/>
      <c r="E2765" s="795"/>
    </row>
    <row r="2766" spans="4:5" hidden="1">
      <c r="D2766" s="795"/>
      <c r="E2766" s="795"/>
    </row>
    <row r="2767" spans="4:5" hidden="1">
      <c r="D2767" s="795"/>
      <c r="E2767" s="795"/>
    </row>
    <row r="2768" spans="4:5" hidden="1">
      <c r="D2768" s="795"/>
      <c r="E2768" s="795"/>
    </row>
    <row r="2769" spans="4:5" hidden="1">
      <c r="D2769" s="795"/>
      <c r="E2769" s="795"/>
    </row>
    <row r="2770" spans="4:5" hidden="1">
      <c r="D2770" s="795"/>
      <c r="E2770" s="795"/>
    </row>
    <row r="2771" spans="4:5" hidden="1">
      <c r="D2771" s="795"/>
      <c r="E2771" s="795"/>
    </row>
    <row r="2772" spans="4:5" hidden="1">
      <c r="D2772" s="795"/>
      <c r="E2772" s="795"/>
    </row>
    <row r="2773" spans="4:5" hidden="1">
      <c r="D2773" s="795"/>
      <c r="E2773" s="795"/>
    </row>
    <row r="2774" spans="4:5" hidden="1">
      <c r="D2774" s="795"/>
      <c r="E2774" s="795"/>
    </row>
    <row r="2775" spans="4:5" hidden="1">
      <c r="D2775" s="795"/>
      <c r="E2775" s="795"/>
    </row>
    <row r="2776" spans="4:5" hidden="1">
      <c r="D2776" s="795"/>
      <c r="E2776" s="795"/>
    </row>
    <row r="2777" spans="4:5" hidden="1">
      <c r="D2777" s="795"/>
      <c r="E2777" s="795"/>
    </row>
    <row r="2778" spans="4:5" hidden="1">
      <c r="D2778" s="795"/>
      <c r="E2778" s="795"/>
    </row>
    <row r="2779" spans="4:5" hidden="1">
      <c r="D2779" s="795"/>
      <c r="E2779" s="795"/>
    </row>
    <row r="2780" spans="4:5" hidden="1">
      <c r="D2780" s="795"/>
      <c r="E2780" s="795"/>
    </row>
    <row r="2781" spans="4:5" hidden="1">
      <c r="D2781" s="795"/>
      <c r="E2781" s="795"/>
    </row>
    <row r="2782" spans="4:5" hidden="1">
      <c r="D2782" s="795"/>
      <c r="E2782" s="795"/>
    </row>
    <row r="2783" spans="4:5" hidden="1">
      <c r="D2783" s="795"/>
      <c r="E2783" s="795"/>
    </row>
    <row r="2784" spans="4:5" hidden="1">
      <c r="D2784" s="795"/>
      <c r="E2784" s="795"/>
    </row>
    <row r="2785" spans="4:5" hidden="1">
      <c r="D2785" s="795"/>
      <c r="E2785" s="795"/>
    </row>
    <row r="2786" spans="4:5" hidden="1">
      <c r="D2786" s="795"/>
      <c r="E2786" s="795"/>
    </row>
    <row r="2787" spans="4:5" hidden="1">
      <c r="D2787" s="795"/>
      <c r="E2787" s="795"/>
    </row>
    <row r="2788" spans="4:5" hidden="1">
      <c r="D2788" s="795"/>
      <c r="E2788" s="795"/>
    </row>
    <row r="2789" spans="4:5" hidden="1">
      <c r="D2789" s="795"/>
      <c r="E2789" s="795"/>
    </row>
    <row r="2790" spans="4:5" hidden="1">
      <c r="D2790" s="795"/>
      <c r="E2790" s="795"/>
    </row>
    <row r="2791" spans="4:5" hidden="1">
      <c r="D2791" s="795"/>
      <c r="E2791" s="795"/>
    </row>
    <row r="2792" spans="4:5" hidden="1">
      <c r="D2792" s="795"/>
      <c r="E2792" s="795"/>
    </row>
    <row r="2793" spans="4:5" hidden="1">
      <c r="D2793" s="795"/>
      <c r="E2793" s="795"/>
    </row>
    <row r="2794" spans="4:5" hidden="1">
      <c r="D2794" s="795"/>
      <c r="E2794" s="795"/>
    </row>
    <row r="2795" spans="4:5" hidden="1">
      <c r="D2795" s="795"/>
      <c r="E2795" s="795"/>
    </row>
    <row r="2796" spans="4:5" hidden="1">
      <c r="D2796" s="795"/>
      <c r="E2796" s="795"/>
    </row>
    <row r="2797" spans="4:5" hidden="1">
      <c r="D2797" s="795"/>
      <c r="E2797" s="795"/>
    </row>
    <row r="2798" spans="4:5" hidden="1">
      <c r="D2798" s="795"/>
      <c r="E2798" s="795"/>
    </row>
    <row r="2799" spans="4:5" hidden="1">
      <c r="D2799" s="795"/>
      <c r="E2799" s="795"/>
    </row>
    <row r="2800" spans="4:5" hidden="1">
      <c r="D2800" s="795"/>
      <c r="E2800" s="795"/>
    </row>
    <row r="2801" spans="4:5" hidden="1">
      <c r="D2801" s="795"/>
      <c r="E2801" s="795"/>
    </row>
    <row r="2802" spans="4:5" hidden="1">
      <c r="D2802" s="795"/>
      <c r="E2802" s="795"/>
    </row>
    <row r="2803" spans="4:5" hidden="1">
      <c r="D2803" s="795"/>
      <c r="E2803" s="795"/>
    </row>
    <row r="2804" spans="4:5" hidden="1">
      <c r="D2804" s="795"/>
      <c r="E2804" s="795"/>
    </row>
    <row r="2805" spans="4:5" hidden="1">
      <c r="D2805" s="795"/>
      <c r="E2805" s="795"/>
    </row>
    <row r="2806" spans="4:5" hidden="1">
      <c r="D2806" s="795"/>
      <c r="E2806" s="795"/>
    </row>
    <row r="2807" spans="4:5" hidden="1">
      <c r="D2807" s="795"/>
      <c r="E2807" s="795"/>
    </row>
    <row r="2808" spans="4:5" hidden="1">
      <c r="D2808" s="795"/>
      <c r="E2808" s="795"/>
    </row>
    <row r="2809" spans="4:5" hidden="1">
      <c r="D2809" s="795"/>
      <c r="E2809" s="795"/>
    </row>
    <row r="2810" spans="4:5" hidden="1">
      <c r="D2810" s="795"/>
      <c r="E2810" s="795"/>
    </row>
    <row r="2811" spans="4:5" hidden="1">
      <c r="D2811" s="795"/>
      <c r="E2811" s="795"/>
    </row>
    <row r="2812" spans="4:5" hidden="1">
      <c r="D2812" s="795"/>
      <c r="E2812" s="795"/>
    </row>
    <row r="2813" spans="4:5" hidden="1">
      <c r="D2813" s="795"/>
      <c r="E2813" s="795"/>
    </row>
    <row r="2814" spans="4:5" hidden="1">
      <c r="D2814" s="795"/>
      <c r="E2814" s="795"/>
    </row>
    <row r="2815" spans="4:5" hidden="1">
      <c r="D2815" s="795"/>
      <c r="E2815" s="795"/>
    </row>
    <row r="2816" spans="4:5" hidden="1">
      <c r="D2816" s="795"/>
      <c r="E2816" s="795"/>
    </row>
    <row r="2817" spans="4:5" hidden="1">
      <c r="D2817" s="795"/>
      <c r="E2817" s="795"/>
    </row>
    <row r="2818" spans="4:5" hidden="1">
      <c r="D2818" s="795"/>
      <c r="E2818" s="795"/>
    </row>
    <row r="2819" spans="4:5" hidden="1">
      <c r="D2819" s="795"/>
      <c r="E2819" s="795"/>
    </row>
    <row r="2820" spans="4:5" hidden="1">
      <c r="D2820" s="795"/>
      <c r="E2820" s="795"/>
    </row>
    <row r="2821" spans="4:5" hidden="1">
      <c r="D2821" s="795"/>
      <c r="E2821" s="795"/>
    </row>
    <row r="2822" spans="4:5" hidden="1">
      <c r="D2822" s="795"/>
      <c r="E2822" s="795"/>
    </row>
    <row r="2823" spans="4:5" hidden="1">
      <c r="D2823" s="795"/>
      <c r="E2823" s="795"/>
    </row>
    <row r="2824" spans="4:5" hidden="1">
      <c r="D2824" s="795"/>
      <c r="E2824" s="795"/>
    </row>
    <row r="2825" spans="4:5" hidden="1">
      <c r="D2825" s="795"/>
      <c r="E2825" s="795"/>
    </row>
    <row r="2826" spans="4:5" hidden="1">
      <c r="D2826" s="795"/>
      <c r="E2826" s="795"/>
    </row>
    <row r="2827" spans="4:5" hidden="1">
      <c r="D2827" s="795"/>
      <c r="E2827" s="795"/>
    </row>
    <row r="2828" spans="4:5" hidden="1">
      <c r="D2828" s="795"/>
      <c r="E2828" s="795"/>
    </row>
    <row r="2829" spans="4:5" hidden="1">
      <c r="D2829" s="795"/>
      <c r="E2829" s="795"/>
    </row>
    <row r="2830" spans="4:5" hidden="1">
      <c r="D2830" s="795"/>
      <c r="E2830" s="795"/>
    </row>
    <row r="2831" spans="4:5" hidden="1">
      <c r="D2831" s="795"/>
      <c r="E2831" s="795"/>
    </row>
    <row r="2832" spans="4:5" hidden="1">
      <c r="D2832" s="795"/>
      <c r="E2832" s="795"/>
    </row>
    <row r="2833" spans="4:5" hidden="1">
      <c r="D2833" s="795"/>
      <c r="E2833" s="795"/>
    </row>
    <row r="2834" spans="4:5" hidden="1">
      <c r="D2834" s="795"/>
      <c r="E2834" s="795"/>
    </row>
    <row r="2835" spans="4:5" hidden="1">
      <c r="D2835" s="795"/>
      <c r="E2835" s="795"/>
    </row>
    <row r="2836" spans="4:5" hidden="1">
      <c r="D2836" s="795"/>
      <c r="E2836" s="795"/>
    </row>
    <row r="2837" spans="4:5" hidden="1">
      <c r="D2837" s="795"/>
      <c r="E2837" s="795"/>
    </row>
    <row r="2838" spans="4:5" hidden="1">
      <c r="D2838" s="795"/>
      <c r="E2838" s="795"/>
    </row>
    <row r="2839" spans="4:5" hidden="1">
      <c r="D2839" s="795"/>
      <c r="E2839" s="795"/>
    </row>
    <row r="2840" spans="4:5" hidden="1">
      <c r="D2840" s="795"/>
      <c r="E2840" s="795"/>
    </row>
    <row r="2841" spans="4:5" hidden="1">
      <c r="D2841" s="795"/>
      <c r="E2841" s="795"/>
    </row>
    <row r="2842" spans="4:5" hidden="1">
      <c r="D2842" s="795"/>
      <c r="E2842" s="795"/>
    </row>
    <row r="2843" spans="4:5" hidden="1">
      <c r="D2843" s="795"/>
      <c r="E2843" s="795"/>
    </row>
    <row r="2844" spans="4:5" hidden="1">
      <c r="D2844" s="795"/>
      <c r="E2844" s="795"/>
    </row>
    <row r="2845" spans="4:5" hidden="1">
      <c r="D2845" s="795"/>
      <c r="E2845" s="795"/>
    </row>
    <row r="2846" spans="4:5" hidden="1">
      <c r="D2846" s="795"/>
      <c r="E2846" s="795"/>
    </row>
    <row r="2847" spans="4:5" hidden="1">
      <c r="D2847" s="795"/>
      <c r="E2847" s="795"/>
    </row>
    <row r="2848" spans="4:5" hidden="1">
      <c r="D2848" s="795"/>
      <c r="E2848" s="795"/>
    </row>
    <row r="2849" spans="4:5" hidden="1">
      <c r="D2849" s="795"/>
      <c r="E2849" s="795"/>
    </row>
    <row r="2850" spans="4:5" hidden="1">
      <c r="D2850" s="795"/>
      <c r="E2850" s="795"/>
    </row>
    <row r="2851" spans="4:5" hidden="1">
      <c r="D2851" s="795"/>
      <c r="E2851" s="795"/>
    </row>
    <row r="2852" spans="4:5" hidden="1">
      <c r="D2852" s="795"/>
      <c r="E2852" s="795"/>
    </row>
    <row r="2853" spans="4:5" hidden="1">
      <c r="D2853" s="795"/>
      <c r="E2853" s="795"/>
    </row>
    <row r="2854" spans="4:5" hidden="1">
      <c r="D2854" s="795"/>
      <c r="E2854" s="795"/>
    </row>
    <row r="2855" spans="4:5" hidden="1">
      <c r="D2855" s="795"/>
      <c r="E2855" s="795"/>
    </row>
    <row r="2856" spans="4:5" hidden="1">
      <c r="D2856" s="795"/>
      <c r="E2856" s="795"/>
    </row>
    <row r="2857" spans="4:5" hidden="1">
      <c r="D2857" s="795"/>
      <c r="E2857" s="795"/>
    </row>
    <row r="2858" spans="4:5" hidden="1">
      <c r="D2858" s="795"/>
      <c r="E2858" s="795"/>
    </row>
    <row r="2859" spans="4:5" hidden="1">
      <c r="D2859" s="795"/>
      <c r="E2859" s="795"/>
    </row>
    <row r="2860" spans="4:5" hidden="1">
      <c r="D2860" s="795"/>
      <c r="E2860" s="795"/>
    </row>
    <row r="2861" spans="4:5" hidden="1">
      <c r="D2861" s="795"/>
      <c r="E2861" s="795"/>
    </row>
    <row r="2862" spans="4:5" hidden="1">
      <c r="D2862" s="795"/>
      <c r="E2862" s="795"/>
    </row>
    <row r="2863" spans="4:5" hidden="1">
      <c r="D2863" s="795"/>
      <c r="E2863" s="795"/>
    </row>
    <row r="2864" spans="4:5" hidden="1">
      <c r="D2864" s="795"/>
      <c r="E2864" s="795"/>
    </row>
    <row r="2865" spans="4:5" hidden="1">
      <c r="D2865" s="795"/>
      <c r="E2865" s="795"/>
    </row>
    <row r="2866" spans="4:5" hidden="1">
      <c r="D2866" s="795"/>
      <c r="E2866" s="795"/>
    </row>
    <row r="2867" spans="4:5" hidden="1">
      <c r="D2867" s="795"/>
      <c r="E2867" s="795"/>
    </row>
    <row r="2868" spans="4:5" hidden="1">
      <c r="D2868" s="795"/>
      <c r="E2868" s="795"/>
    </row>
    <row r="2869" spans="4:5" hidden="1">
      <c r="D2869" s="795"/>
      <c r="E2869" s="795"/>
    </row>
    <row r="2870" spans="4:5" hidden="1">
      <c r="D2870" s="795"/>
      <c r="E2870" s="795"/>
    </row>
    <row r="2871" spans="4:5" hidden="1">
      <c r="D2871" s="795"/>
      <c r="E2871" s="795"/>
    </row>
    <row r="2872" spans="4:5" hidden="1">
      <c r="D2872" s="795"/>
      <c r="E2872" s="795"/>
    </row>
    <row r="2873" spans="4:5" hidden="1">
      <c r="D2873" s="795"/>
      <c r="E2873" s="795"/>
    </row>
    <row r="2874" spans="4:5" hidden="1">
      <c r="D2874" s="795"/>
      <c r="E2874" s="795"/>
    </row>
    <row r="2875" spans="4:5" hidden="1">
      <c r="D2875" s="795"/>
      <c r="E2875" s="795"/>
    </row>
    <row r="2876" spans="4:5" hidden="1">
      <c r="D2876" s="795"/>
      <c r="E2876" s="795"/>
    </row>
    <row r="2877" spans="4:5" hidden="1">
      <c r="D2877" s="795"/>
      <c r="E2877" s="795"/>
    </row>
    <row r="2878" spans="4:5" hidden="1">
      <c r="D2878" s="795"/>
      <c r="E2878" s="795"/>
    </row>
    <row r="2879" spans="4:5" hidden="1">
      <c r="D2879" s="795"/>
      <c r="E2879" s="795"/>
    </row>
    <row r="2880" spans="4:5" hidden="1">
      <c r="D2880" s="795"/>
      <c r="E2880" s="795"/>
    </row>
    <row r="2881" spans="4:5" hidden="1">
      <c r="D2881" s="795"/>
      <c r="E2881" s="795"/>
    </row>
    <row r="2882" spans="4:5" hidden="1">
      <c r="D2882" s="795"/>
      <c r="E2882" s="795"/>
    </row>
    <row r="2883" spans="4:5" hidden="1">
      <c r="D2883" s="795"/>
      <c r="E2883" s="795"/>
    </row>
    <row r="2884" spans="4:5" hidden="1">
      <c r="D2884" s="795"/>
      <c r="E2884" s="795"/>
    </row>
    <row r="2885" spans="4:5" hidden="1">
      <c r="D2885" s="795"/>
      <c r="E2885" s="795"/>
    </row>
    <row r="2886" spans="4:5" hidden="1">
      <c r="D2886" s="795"/>
      <c r="E2886" s="795"/>
    </row>
    <row r="2887" spans="4:5" hidden="1">
      <c r="D2887" s="795"/>
      <c r="E2887" s="795"/>
    </row>
    <row r="2888" spans="4:5" hidden="1">
      <c r="D2888" s="795"/>
      <c r="E2888" s="795"/>
    </row>
    <row r="2889" spans="4:5" hidden="1">
      <c r="D2889" s="795"/>
      <c r="E2889" s="795"/>
    </row>
    <row r="2890" spans="4:5" hidden="1">
      <c r="D2890" s="795"/>
      <c r="E2890" s="795"/>
    </row>
    <row r="2891" spans="4:5" hidden="1">
      <c r="D2891" s="795"/>
      <c r="E2891" s="795"/>
    </row>
    <row r="2892" spans="4:5" hidden="1">
      <c r="D2892" s="795"/>
      <c r="E2892" s="795"/>
    </row>
    <row r="2893" spans="4:5" hidden="1">
      <c r="D2893" s="795"/>
      <c r="E2893" s="795"/>
    </row>
    <row r="2894" spans="4:5" hidden="1">
      <c r="D2894" s="795"/>
      <c r="E2894" s="795"/>
    </row>
    <row r="2895" spans="4:5" hidden="1">
      <c r="D2895" s="795"/>
      <c r="E2895" s="795"/>
    </row>
    <row r="2896" spans="4:5" hidden="1">
      <c r="D2896" s="795"/>
      <c r="E2896" s="795"/>
    </row>
    <row r="2897" spans="4:5" hidden="1">
      <c r="D2897" s="795"/>
      <c r="E2897" s="795"/>
    </row>
    <row r="2898" spans="4:5" hidden="1">
      <c r="D2898" s="795"/>
      <c r="E2898" s="795"/>
    </row>
    <row r="2899" spans="4:5" hidden="1">
      <c r="D2899" s="795"/>
      <c r="E2899" s="795"/>
    </row>
    <row r="2900" spans="4:5" hidden="1">
      <c r="D2900" s="795"/>
      <c r="E2900" s="795"/>
    </row>
    <row r="2901" spans="4:5" hidden="1">
      <c r="D2901" s="795"/>
      <c r="E2901" s="795"/>
    </row>
    <row r="2902" spans="4:5" hidden="1">
      <c r="D2902" s="795"/>
      <c r="E2902" s="795"/>
    </row>
    <row r="2903" spans="4:5" hidden="1">
      <c r="D2903" s="795"/>
      <c r="E2903" s="795"/>
    </row>
    <row r="2904" spans="4:5" hidden="1">
      <c r="D2904" s="795"/>
      <c r="E2904" s="795"/>
    </row>
    <row r="2905" spans="4:5" hidden="1">
      <c r="D2905" s="795"/>
      <c r="E2905" s="795"/>
    </row>
    <row r="2906" spans="4:5" hidden="1">
      <c r="D2906" s="795"/>
      <c r="E2906" s="795"/>
    </row>
    <row r="2907" spans="4:5" hidden="1">
      <c r="D2907" s="795"/>
      <c r="E2907" s="795"/>
    </row>
    <row r="2908" spans="4:5" hidden="1">
      <c r="D2908" s="795"/>
      <c r="E2908" s="795"/>
    </row>
    <row r="2909" spans="4:5" hidden="1">
      <c r="D2909" s="795"/>
      <c r="E2909" s="795"/>
    </row>
    <row r="2910" spans="4:5" hidden="1">
      <c r="D2910" s="795"/>
      <c r="E2910" s="795"/>
    </row>
    <row r="2911" spans="4:5" hidden="1">
      <c r="D2911" s="795"/>
      <c r="E2911" s="795"/>
    </row>
    <row r="2912" spans="4:5" hidden="1">
      <c r="D2912" s="795"/>
      <c r="E2912" s="795"/>
    </row>
    <row r="2913" spans="4:5" hidden="1">
      <c r="D2913" s="795"/>
      <c r="E2913" s="795"/>
    </row>
    <row r="2914" spans="4:5" hidden="1">
      <c r="D2914" s="795"/>
      <c r="E2914" s="795"/>
    </row>
    <row r="2915" spans="4:5" hidden="1">
      <c r="D2915" s="795"/>
      <c r="E2915" s="795"/>
    </row>
    <row r="2916" spans="4:5" hidden="1">
      <c r="D2916" s="795"/>
      <c r="E2916" s="795"/>
    </row>
    <row r="2917" spans="4:5" hidden="1">
      <c r="D2917" s="795"/>
      <c r="E2917" s="795"/>
    </row>
    <row r="2918" spans="4:5" hidden="1">
      <c r="D2918" s="795"/>
      <c r="E2918" s="795"/>
    </row>
    <row r="2919" spans="4:5" hidden="1">
      <c r="D2919" s="795"/>
      <c r="E2919" s="795"/>
    </row>
    <row r="2920" spans="4:5" hidden="1">
      <c r="D2920" s="795"/>
      <c r="E2920" s="795"/>
    </row>
    <row r="2921" spans="4:5" hidden="1">
      <c r="D2921" s="795"/>
      <c r="E2921" s="795"/>
    </row>
    <row r="2922" spans="4:5" hidden="1">
      <c r="D2922" s="795"/>
      <c r="E2922" s="795"/>
    </row>
    <row r="2923" spans="4:5" hidden="1">
      <c r="D2923" s="795"/>
      <c r="E2923" s="795"/>
    </row>
    <row r="2924" spans="4:5" hidden="1">
      <c r="D2924" s="795"/>
      <c r="E2924" s="795"/>
    </row>
    <row r="2925" spans="4:5" hidden="1">
      <c r="D2925" s="795"/>
      <c r="E2925" s="795"/>
    </row>
    <row r="2926" spans="4:5" hidden="1">
      <c r="D2926" s="795"/>
      <c r="E2926" s="795"/>
    </row>
    <row r="2927" spans="4:5" hidden="1">
      <c r="D2927" s="795"/>
      <c r="E2927" s="795"/>
    </row>
    <row r="2928" spans="4:5" hidden="1">
      <c r="D2928" s="795"/>
      <c r="E2928" s="795"/>
    </row>
    <row r="2929" spans="4:5" hidden="1">
      <c r="D2929" s="795"/>
      <c r="E2929" s="795"/>
    </row>
    <row r="2930" spans="4:5" hidden="1">
      <c r="D2930" s="795"/>
      <c r="E2930" s="795"/>
    </row>
    <row r="2931" spans="4:5" hidden="1">
      <c r="D2931" s="795"/>
      <c r="E2931" s="795"/>
    </row>
    <row r="2932" spans="4:5" hidden="1">
      <c r="D2932" s="795"/>
      <c r="E2932" s="795"/>
    </row>
    <row r="2933" spans="4:5" hidden="1">
      <c r="D2933" s="795"/>
      <c r="E2933" s="795"/>
    </row>
    <row r="2934" spans="4:5" hidden="1">
      <c r="D2934" s="795"/>
      <c r="E2934" s="795"/>
    </row>
    <row r="2935" spans="4:5" hidden="1">
      <c r="D2935" s="795"/>
      <c r="E2935" s="795"/>
    </row>
    <row r="2936" spans="4:5" hidden="1">
      <c r="D2936" s="795"/>
      <c r="E2936" s="795"/>
    </row>
    <row r="2937" spans="4:5" hidden="1">
      <c r="D2937" s="795"/>
      <c r="E2937" s="795"/>
    </row>
    <row r="2938" spans="4:5" hidden="1">
      <c r="D2938" s="795"/>
      <c r="E2938" s="795"/>
    </row>
    <row r="2939" spans="4:5" hidden="1">
      <c r="D2939" s="795"/>
      <c r="E2939" s="795"/>
    </row>
    <row r="2940" spans="4:5" hidden="1">
      <c r="D2940" s="795"/>
      <c r="E2940" s="795"/>
    </row>
    <row r="2941" spans="4:5" hidden="1">
      <c r="D2941" s="795"/>
      <c r="E2941" s="795"/>
    </row>
    <row r="2942" spans="4:5" hidden="1">
      <c r="D2942" s="795"/>
      <c r="E2942" s="795"/>
    </row>
    <row r="2943" spans="4:5" hidden="1">
      <c r="D2943" s="795"/>
      <c r="E2943" s="795"/>
    </row>
    <row r="2944" spans="4:5" hidden="1">
      <c r="D2944" s="795"/>
      <c r="E2944" s="795"/>
    </row>
    <row r="2945" spans="4:5" hidden="1">
      <c r="D2945" s="795"/>
      <c r="E2945" s="795"/>
    </row>
    <row r="2946" spans="4:5" hidden="1">
      <c r="D2946" s="795"/>
      <c r="E2946" s="795"/>
    </row>
    <row r="2947" spans="4:5" hidden="1">
      <c r="D2947" s="795"/>
      <c r="E2947" s="795"/>
    </row>
    <row r="2948" spans="4:5" hidden="1">
      <c r="D2948" s="795"/>
      <c r="E2948" s="795"/>
    </row>
    <row r="2949" spans="4:5" hidden="1">
      <c r="D2949" s="795"/>
      <c r="E2949" s="795"/>
    </row>
    <row r="2950" spans="4:5" hidden="1">
      <c r="D2950" s="795"/>
      <c r="E2950" s="795"/>
    </row>
    <row r="2951" spans="4:5" hidden="1">
      <c r="D2951" s="795"/>
      <c r="E2951" s="795"/>
    </row>
    <row r="2952" spans="4:5" hidden="1">
      <c r="D2952" s="795"/>
      <c r="E2952" s="795"/>
    </row>
    <row r="2953" spans="4:5" hidden="1">
      <c r="D2953" s="795"/>
      <c r="E2953" s="795"/>
    </row>
    <row r="2954" spans="4:5" hidden="1">
      <c r="D2954" s="795"/>
      <c r="E2954" s="795"/>
    </row>
    <row r="2955" spans="4:5" hidden="1">
      <c r="D2955" s="795"/>
      <c r="E2955" s="795"/>
    </row>
    <row r="2956" spans="4:5" hidden="1">
      <c r="D2956" s="795"/>
      <c r="E2956" s="795"/>
    </row>
    <row r="2957" spans="4:5" hidden="1">
      <c r="D2957" s="795"/>
      <c r="E2957" s="795"/>
    </row>
    <row r="2958" spans="4:5" hidden="1">
      <c r="D2958" s="795"/>
      <c r="E2958" s="795"/>
    </row>
    <row r="2959" spans="4:5" hidden="1">
      <c r="D2959" s="795"/>
      <c r="E2959" s="795"/>
    </row>
    <row r="2960" spans="4:5" hidden="1">
      <c r="D2960" s="795"/>
      <c r="E2960" s="795"/>
    </row>
    <row r="2961" spans="4:5" hidden="1">
      <c r="D2961" s="795"/>
      <c r="E2961" s="795"/>
    </row>
    <row r="2962" spans="4:5" hidden="1">
      <c r="D2962" s="795"/>
      <c r="E2962" s="795"/>
    </row>
    <row r="2963" spans="4:5" hidden="1">
      <c r="D2963" s="795"/>
      <c r="E2963" s="795"/>
    </row>
    <row r="2964" spans="4:5" hidden="1">
      <c r="D2964" s="795"/>
      <c r="E2964" s="795"/>
    </row>
    <row r="2965" spans="4:5" hidden="1">
      <c r="D2965" s="795"/>
      <c r="E2965" s="795"/>
    </row>
    <row r="2966" spans="4:5" hidden="1">
      <c r="D2966" s="795"/>
      <c r="E2966" s="795"/>
    </row>
    <row r="2967" spans="4:5" hidden="1">
      <c r="D2967" s="795"/>
      <c r="E2967" s="795"/>
    </row>
    <row r="2968" spans="4:5" hidden="1">
      <c r="D2968" s="795"/>
      <c r="E2968" s="795"/>
    </row>
    <row r="2969" spans="4:5" hidden="1">
      <c r="D2969" s="795"/>
      <c r="E2969" s="795"/>
    </row>
    <row r="2970" spans="4:5" hidden="1">
      <c r="D2970" s="795"/>
      <c r="E2970" s="795"/>
    </row>
    <row r="2971" spans="4:5" hidden="1">
      <c r="D2971" s="795"/>
      <c r="E2971" s="795"/>
    </row>
    <row r="2972" spans="4:5" hidden="1">
      <c r="D2972" s="795"/>
      <c r="E2972" s="795"/>
    </row>
    <row r="2973" spans="4:5" hidden="1">
      <c r="D2973" s="795"/>
      <c r="E2973" s="795"/>
    </row>
    <row r="2974" spans="4:5" hidden="1">
      <c r="D2974" s="795"/>
      <c r="E2974" s="795"/>
    </row>
    <row r="2975" spans="4:5" hidden="1">
      <c r="D2975" s="795"/>
      <c r="E2975" s="795"/>
    </row>
    <row r="2976" spans="4:5" hidden="1">
      <c r="D2976" s="795"/>
      <c r="E2976" s="795"/>
    </row>
    <row r="2977" spans="4:5" hidden="1">
      <c r="D2977" s="795"/>
      <c r="E2977" s="795"/>
    </row>
    <row r="2978" spans="4:5" hidden="1">
      <c r="D2978" s="795"/>
      <c r="E2978" s="795"/>
    </row>
    <row r="2979" spans="4:5" hidden="1">
      <c r="D2979" s="795"/>
      <c r="E2979" s="795"/>
    </row>
    <row r="2980" spans="4:5" hidden="1">
      <c r="D2980" s="795"/>
      <c r="E2980" s="795"/>
    </row>
    <row r="2981" spans="4:5" hidden="1">
      <c r="D2981" s="795"/>
      <c r="E2981" s="795"/>
    </row>
    <row r="2982" spans="4:5" hidden="1">
      <c r="D2982" s="795"/>
      <c r="E2982" s="795"/>
    </row>
    <row r="2983" spans="4:5" hidden="1">
      <c r="D2983" s="795"/>
      <c r="E2983" s="795"/>
    </row>
    <row r="2984" spans="4:5" hidden="1">
      <c r="D2984" s="795"/>
      <c r="E2984" s="795"/>
    </row>
    <row r="2985" spans="4:5" hidden="1">
      <c r="D2985" s="795"/>
      <c r="E2985" s="795"/>
    </row>
    <row r="2986" spans="4:5" hidden="1">
      <c r="D2986" s="795"/>
      <c r="E2986" s="795"/>
    </row>
    <row r="2987" spans="4:5" hidden="1">
      <c r="D2987" s="795"/>
      <c r="E2987" s="795"/>
    </row>
    <row r="2988" spans="4:5" hidden="1">
      <c r="D2988" s="795"/>
      <c r="E2988" s="795"/>
    </row>
    <row r="2989" spans="4:5" hidden="1">
      <c r="D2989" s="795"/>
      <c r="E2989" s="795"/>
    </row>
    <row r="2990" spans="4:5" hidden="1">
      <c r="D2990" s="795"/>
      <c r="E2990" s="795"/>
    </row>
    <row r="2991" spans="4:5" hidden="1">
      <c r="D2991" s="795"/>
      <c r="E2991" s="795"/>
    </row>
    <row r="2992" spans="4:5" hidden="1">
      <c r="D2992" s="795"/>
      <c r="E2992" s="795"/>
    </row>
    <row r="2993" spans="4:5" hidden="1">
      <c r="D2993" s="795"/>
      <c r="E2993" s="795"/>
    </row>
    <row r="2994" spans="4:5" hidden="1">
      <c r="D2994" s="795"/>
      <c r="E2994" s="795"/>
    </row>
    <row r="2995" spans="4:5" hidden="1">
      <c r="D2995" s="795"/>
      <c r="E2995" s="795"/>
    </row>
    <row r="2996" spans="4:5" hidden="1">
      <c r="D2996" s="795"/>
      <c r="E2996" s="795"/>
    </row>
    <row r="2997" spans="4:5" hidden="1">
      <c r="D2997" s="795"/>
      <c r="E2997" s="795"/>
    </row>
    <row r="2998" spans="4:5" hidden="1">
      <c r="D2998" s="795"/>
      <c r="E2998" s="795"/>
    </row>
    <row r="2999" spans="4:5" hidden="1">
      <c r="D2999" s="795"/>
      <c r="E2999" s="795"/>
    </row>
    <row r="3000" spans="4:5" hidden="1">
      <c r="D3000" s="795"/>
      <c r="E3000" s="795"/>
    </row>
    <row r="3001" spans="4:5" hidden="1">
      <c r="D3001" s="795"/>
      <c r="E3001" s="795"/>
    </row>
    <row r="3002" spans="4:5" hidden="1">
      <c r="D3002" s="795"/>
      <c r="E3002" s="795"/>
    </row>
    <row r="3003" spans="4:5" hidden="1">
      <c r="D3003" s="795"/>
      <c r="E3003" s="795"/>
    </row>
    <row r="3004" spans="4:5" hidden="1">
      <c r="D3004" s="795"/>
      <c r="E3004" s="795"/>
    </row>
    <row r="3005" spans="4:5" hidden="1">
      <c r="D3005" s="795"/>
      <c r="E3005" s="795"/>
    </row>
    <row r="3006" spans="4:5" hidden="1">
      <c r="D3006" s="795"/>
      <c r="E3006" s="795"/>
    </row>
    <row r="3007" spans="4:5" hidden="1">
      <c r="D3007" s="795"/>
      <c r="E3007" s="795"/>
    </row>
    <row r="3008" spans="4:5" hidden="1">
      <c r="D3008" s="795"/>
      <c r="E3008" s="795"/>
    </row>
    <row r="3009" spans="4:5" hidden="1">
      <c r="D3009" s="795"/>
      <c r="E3009" s="795"/>
    </row>
    <row r="3010" spans="4:5" hidden="1">
      <c r="D3010" s="795"/>
      <c r="E3010" s="795"/>
    </row>
    <row r="3011" spans="4:5" hidden="1">
      <c r="D3011" s="795"/>
      <c r="E3011" s="795"/>
    </row>
    <row r="3012" spans="4:5" hidden="1">
      <c r="D3012" s="795"/>
      <c r="E3012" s="795"/>
    </row>
    <row r="3013" spans="4:5" hidden="1">
      <c r="D3013" s="795"/>
      <c r="E3013" s="795"/>
    </row>
    <row r="3014" spans="4:5" hidden="1">
      <c r="D3014" s="795"/>
      <c r="E3014" s="795"/>
    </row>
    <row r="3015" spans="4:5" hidden="1">
      <c r="D3015" s="795"/>
      <c r="E3015" s="795"/>
    </row>
    <row r="3016" spans="4:5" hidden="1">
      <c r="D3016" s="795"/>
      <c r="E3016" s="795"/>
    </row>
    <row r="3017" spans="4:5" hidden="1">
      <c r="D3017" s="795"/>
      <c r="E3017" s="795"/>
    </row>
    <row r="3018" spans="4:5" hidden="1">
      <c r="D3018" s="795"/>
      <c r="E3018" s="795"/>
    </row>
    <row r="3019" spans="4:5" hidden="1">
      <c r="D3019" s="795"/>
      <c r="E3019" s="795"/>
    </row>
    <row r="3020" spans="4:5" hidden="1">
      <c r="D3020" s="795"/>
      <c r="E3020" s="795"/>
    </row>
    <row r="3021" spans="4:5" hidden="1">
      <c r="D3021" s="795"/>
      <c r="E3021" s="795"/>
    </row>
    <row r="3022" spans="4:5" hidden="1">
      <c r="D3022" s="795"/>
      <c r="E3022" s="795"/>
    </row>
    <row r="3023" spans="4:5" hidden="1">
      <c r="D3023" s="795"/>
      <c r="E3023" s="795"/>
    </row>
    <row r="3024" spans="4:5" hidden="1">
      <c r="D3024" s="795"/>
      <c r="E3024" s="795"/>
    </row>
    <row r="3025" spans="4:5" hidden="1">
      <c r="D3025" s="795"/>
      <c r="E3025" s="795"/>
    </row>
    <row r="3026" spans="4:5" hidden="1">
      <c r="D3026" s="795"/>
      <c r="E3026" s="795"/>
    </row>
    <row r="3027" spans="4:5" hidden="1">
      <c r="D3027" s="795"/>
      <c r="E3027" s="795"/>
    </row>
    <row r="3028" spans="4:5" hidden="1">
      <c r="D3028" s="795"/>
      <c r="E3028" s="795"/>
    </row>
    <row r="3029" spans="4:5" hidden="1">
      <c r="D3029" s="795"/>
      <c r="E3029" s="795"/>
    </row>
    <row r="3030" spans="4:5" hidden="1">
      <c r="D3030" s="795"/>
      <c r="E3030" s="795"/>
    </row>
    <row r="3031" spans="4:5" hidden="1">
      <c r="D3031" s="795"/>
      <c r="E3031" s="795"/>
    </row>
    <row r="3032" spans="4:5" hidden="1">
      <c r="D3032" s="795"/>
      <c r="E3032" s="795"/>
    </row>
    <row r="3033" spans="4:5" hidden="1">
      <c r="D3033" s="795"/>
      <c r="E3033" s="795"/>
    </row>
    <row r="3034" spans="4:5" hidden="1">
      <c r="D3034" s="795"/>
      <c r="E3034" s="795"/>
    </row>
    <row r="3035" spans="4:5" hidden="1">
      <c r="D3035" s="795"/>
      <c r="E3035" s="795"/>
    </row>
    <row r="3036" spans="4:5" hidden="1">
      <c r="D3036" s="795"/>
      <c r="E3036" s="795"/>
    </row>
    <row r="3037" spans="4:5" hidden="1">
      <c r="D3037" s="795"/>
      <c r="E3037" s="795"/>
    </row>
    <row r="3038" spans="4:5" hidden="1">
      <c r="D3038" s="795"/>
      <c r="E3038" s="795"/>
    </row>
    <row r="3039" spans="4:5" hidden="1">
      <c r="D3039" s="795"/>
      <c r="E3039" s="795"/>
    </row>
    <row r="3040" spans="4:5" hidden="1">
      <c r="D3040" s="795"/>
      <c r="E3040" s="795"/>
    </row>
    <row r="3041" spans="4:5" hidden="1">
      <c r="D3041" s="795"/>
      <c r="E3041" s="795"/>
    </row>
    <row r="3042" spans="4:5" hidden="1">
      <c r="D3042" s="795"/>
      <c r="E3042" s="795"/>
    </row>
    <row r="3043" spans="4:5" hidden="1">
      <c r="D3043" s="795"/>
      <c r="E3043" s="795"/>
    </row>
    <row r="3044" spans="4:5" hidden="1">
      <c r="D3044" s="795"/>
      <c r="E3044" s="795"/>
    </row>
    <row r="3045" spans="4:5" hidden="1">
      <c r="D3045" s="795"/>
      <c r="E3045" s="795"/>
    </row>
    <row r="3046" spans="4:5" hidden="1">
      <c r="D3046" s="795"/>
      <c r="E3046" s="795"/>
    </row>
    <row r="3047" spans="4:5" hidden="1">
      <c r="D3047" s="795"/>
      <c r="E3047" s="795"/>
    </row>
    <row r="3048" spans="4:5" hidden="1">
      <c r="D3048" s="795"/>
      <c r="E3048" s="795"/>
    </row>
    <row r="3049" spans="4:5" hidden="1">
      <c r="D3049" s="795"/>
      <c r="E3049" s="795"/>
    </row>
    <row r="3050" spans="4:5" hidden="1">
      <c r="D3050" s="795"/>
      <c r="E3050" s="795"/>
    </row>
    <row r="3051" spans="4:5" hidden="1">
      <c r="D3051" s="795"/>
      <c r="E3051" s="795"/>
    </row>
    <row r="3052" spans="4:5" hidden="1">
      <c r="D3052" s="795"/>
      <c r="E3052" s="795"/>
    </row>
    <row r="3053" spans="4:5" hidden="1">
      <c r="D3053" s="795"/>
      <c r="E3053" s="795"/>
    </row>
    <row r="3054" spans="4:5" hidden="1">
      <c r="D3054" s="795"/>
      <c r="E3054" s="795"/>
    </row>
    <row r="3055" spans="4:5" hidden="1">
      <c r="D3055" s="795"/>
      <c r="E3055" s="795"/>
    </row>
    <row r="3056" spans="4:5" hidden="1">
      <c r="D3056" s="795"/>
      <c r="E3056" s="795"/>
    </row>
    <row r="3057" spans="4:5" hidden="1">
      <c r="D3057" s="795"/>
      <c r="E3057" s="795"/>
    </row>
    <row r="3058" spans="4:5" hidden="1">
      <c r="D3058" s="795"/>
      <c r="E3058" s="795"/>
    </row>
    <row r="3059" spans="4:5" hidden="1">
      <c r="D3059" s="795"/>
      <c r="E3059" s="795"/>
    </row>
    <row r="3060" spans="4:5" hidden="1">
      <c r="D3060" s="795"/>
      <c r="E3060" s="795"/>
    </row>
    <row r="3061" spans="4:5" hidden="1">
      <c r="D3061" s="795"/>
      <c r="E3061" s="795"/>
    </row>
    <row r="3062" spans="4:5" hidden="1">
      <c r="D3062" s="795"/>
      <c r="E3062" s="795"/>
    </row>
    <row r="3063" spans="4:5" hidden="1">
      <c r="D3063" s="795"/>
      <c r="E3063" s="795"/>
    </row>
    <row r="3064" spans="4:5" hidden="1">
      <c r="D3064" s="795"/>
      <c r="E3064" s="795"/>
    </row>
    <row r="3065" spans="4:5" hidden="1">
      <c r="D3065" s="795"/>
      <c r="E3065" s="795"/>
    </row>
    <row r="3066" spans="4:5" hidden="1">
      <c r="D3066" s="795"/>
      <c r="E3066" s="795"/>
    </row>
    <row r="3067" spans="4:5" hidden="1">
      <c r="D3067" s="795"/>
      <c r="E3067" s="795"/>
    </row>
    <row r="3068" spans="4:5" hidden="1">
      <c r="D3068" s="795"/>
      <c r="E3068" s="795"/>
    </row>
    <row r="3069" spans="4:5" hidden="1">
      <c r="D3069" s="795"/>
      <c r="E3069" s="795"/>
    </row>
    <row r="3070" spans="4:5" hidden="1">
      <c r="D3070" s="795"/>
      <c r="E3070" s="795"/>
    </row>
    <row r="3071" spans="4:5" hidden="1">
      <c r="D3071" s="795"/>
      <c r="E3071" s="795"/>
    </row>
    <row r="3072" spans="4:5" hidden="1">
      <c r="D3072" s="795"/>
      <c r="E3072" s="795"/>
    </row>
    <row r="3073" spans="4:5" hidden="1">
      <c r="D3073" s="795"/>
      <c r="E3073" s="795"/>
    </row>
    <row r="3074" spans="4:5" hidden="1">
      <c r="D3074" s="795"/>
      <c r="E3074" s="795"/>
    </row>
    <row r="3075" spans="4:5" hidden="1">
      <c r="D3075" s="795"/>
      <c r="E3075" s="795"/>
    </row>
    <row r="3076" spans="4:5" hidden="1">
      <c r="D3076" s="795"/>
      <c r="E3076" s="795"/>
    </row>
    <row r="3077" spans="4:5" hidden="1">
      <c r="D3077" s="795"/>
      <c r="E3077" s="795"/>
    </row>
    <row r="3078" spans="4:5" hidden="1">
      <c r="D3078" s="795"/>
      <c r="E3078" s="795"/>
    </row>
    <row r="3079" spans="4:5" hidden="1">
      <c r="D3079" s="795"/>
      <c r="E3079" s="795"/>
    </row>
    <row r="3080" spans="4:5" hidden="1">
      <c r="D3080" s="795"/>
      <c r="E3080" s="795"/>
    </row>
    <row r="3081" spans="4:5" hidden="1">
      <c r="D3081" s="795"/>
      <c r="E3081" s="795"/>
    </row>
    <row r="3082" spans="4:5" hidden="1">
      <c r="D3082" s="795"/>
      <c r="E3082" s="795"/>
    </row>
    <row r="3083" spans="4:5" hidden="1">
      <c r="D3083" s="795"/>
      <c r="E3083" s="795"/>
    </row>
    <row r="3084" spans="4:5" hidden="1">
      <c r="D3084" s="795"/>
      <c r="E3084" s="795"/>
    </row>
    <row r="3085" spans="4:5" hidden="1">
      <c r="D3085" s="795"/>
      <c r="E3085" s="795"/>
    </row>
    <row r="3086" spans="4:5" hidden="1">
      <c r="D3086" s="795"/>
      <c r="E3086" s="795"/>
    </row>
    <row r="3087" spans="4:5" hidden="1">
      <c r="D3087" s="795"/>
      <c r="E3087" s="795"/>
    </row>
    <row r="3088" spans="4:5" hidden="1">
      <c r="D3088" s="795"/>
      <c r="E3088" s="795"/>
    </row>
    <row r="3089" spans="4:5" hidden="1">
      <c r="D3089" s="795"/>
      <c r="E3089" s="795"/>
    </row>
    <row r="3090" spans="4:5" hidden="1">
      <c r="D3090" s="795"/>
      <c r="E3090" s="795"/>
    </row>
    <row r="3091" spans="4:5" hidden="1">
      <c r="D3091" s="795"/>
      <c r="E3091" s="795"/>
    </row>
    <row r="3092" spans="4:5" hidden="1">
      <c r="D3092" s="795"/>
      <c r="E3092" s="795"/>
    </row>
    <row r="3093" spans="4:5" hidden="1">
      <c r="D3093" s="795"/>
      <c r="E3093" s="795"/>
    </row>
    <row r="3094" spans="4:5" hidden="1">
      <c r="D3094" s="795"/>
      <c r="E3094" s="795"/>
    </row>
    <row r="3095" spans="4:5" hidden="1">
      <c r="D3095" s="795"/>
      <c r="E3095" s="795"/>
    </row>
    <row r="3096" spans="4:5" hidden="1">
      <c r="D3096" s="795"/>
      <c r="E3096" s="795"/>
    </row>
    <row r="3097" spans="4:5" hidden="1">
      <c r="D3097" s="795"/>
      <c r="E3097" s="795"/>
    </row>
    <row r="3098" spans="4:5" hidden="1">
      <c r="D3098" s="795"/>
      <c r="E3098" s="795"/>
    </row>
    <row r="3099" spans="4:5" hidden="1">
      <c r="D3099" s="795"/>
      <c r="E3099" s="795"/>
    </row>
    <row r="3100" spans="4:5" hidden="1">
      <c r="D3100" s="795"/>
      <c r="E3100" s="795"/>
    </row>
    <row r="3101" spans="4:5" hidden="1">
      <c r="D3101" s="795"/>
      <c r="E3101" s="795"/>
    </row>
    <row r="3102" spans="4:5" hidden="1">
      <c r="D3102" s="795"/>
      <c r="E3102" s="795"/>
    </row>
    <row r="3103" spans="4:5" hidden="1">
      <c r="D3103" s="795"/>
      <c r="E3103" s="795"/>
    </row>
    <row r="3104" spans="4:5" hidden="1">
      <c r="D3104" s="795"/>
      <c r="E3104" s="795"/>
    </row>
    <row r="3105" spans="4:5" hidden="1">
      <c r="D3105" s="795"/>
      <c r="E3105" s="795"/>
    </row>
    <row r="3106" spans="4:5" hidden="1">
      <c r="D3106" s="795"/>
      <c r="E3106" s="795"/>
    </row>
    <row r="3107" spans="4:5" hidden="1">
      <c r="D3107" s="795"/>
      <c r="E3107" s="795"/>
    </row>
    <row r="3108" spans="4:5" hidden="1">
      <c r="D3108" s="795"/>
      <c r="E3108" s="795"/>
    </row>
    <row r="3109" spans="4:5" hidden="1">
      <c r="D3109" s="795"/>
      <c r="E3109" s="795"/>
    </row>
    <row r="3110" spans="4:5" hidden="1">
      <c r="D3110" s="795"/>
      <c r="E3110" s="795"/>
    </row>
    <row r="3111" spans="4:5" hidden="1">
      <c r="D3111" s="795"/>
      <c r="E3111" s="795"/>
    </row>
    <row r="3112" spans="4:5" hidden="1">
      <c r="D3112" s="795"/>
      <c r="E3112" s="795"/>
    </row>
    <row r="3113" spans="4:5" hidden="1">
      <c r="D3113" s="795"/>
      <c r="E3113" s="795"/>
    </row>
    <row r="3114" spans="4:5" hidden="1">
      <c r="D3114" s="795"/>
      <c r="E3114" s="795"/>
    </row>
    <row r="3115" spans="4:5" hidden="1">
      <c r="D3115" s="795"/>
      <c r="E3115" s="795"/>
    </row>
    <row r="3116" spans="4:5" hidden="1">
      <c r="D3116" s="795"/>
      <c r="E3116" s="795"/>
    </row>
    <row r="3117" spans="4:5" hidden="1">
      <c r="D3117" s="795"/>
      <c r="E3117" s="795"/>
    </row>
    <row r="3118" spans="4:5" hidden="1">
      <c r="D3118" s="795"/>
      <c r="E3118" s="795"/>
    </row>
    <row r="3119" spans="4:5" hidden="1">
      <c r="D3119" s="795"/>
      <c r="E3119" s="795"/>
    </row>
    <row r="3120" spans="4:5" hidden="1">
      <c r="D3120" s="795"/>
      <c r="E3120" s="795"/>
    </row>
    <row r="3121" spans="4:5" hidden="1">
      <c r="D3121" s="795"/>
      <c r="E3121" s="795"/>
    </row>
    <row r="3122" spans="4:5" hidden="1">
      <c r="D3122" s="795"/>
      <c r="E3122" s="795"/>
    </row>
    <row r="3123" spans="4:5" hidden="1">
      <c r="D3123" s="795"/>
      <c r="E3123" s="795"/>
    </row>
    <row r="3124" spans="4:5" hidden="1">
      <c r="D3124" s="795"/>
      <c r="E3124" s="795"/>
    </row>
    <row r="3125" spans="4:5" hidden="1">
      <c r="D3125" s="795"/>
      <c r="E3125" s="795"/>
    </row>
    <row r="3126" spans="4:5" hidden="1">
      <c r="D3126" s="795"/>
      <c r="E3126" s="795"/>
    </row>
    <row r="3127" spans="4:5" hidden="1">
      <c r="D3127" s="795"/>
      <c r="E3127" s="795"/>
    </row>
    <row r="3128" spans="4:5" hidden="1">
      <c r="D3128" s="795"/>
      <c r="E3128" s="795"/>
    </row>
    <row r="3129" spans="4:5" hidden="1">
      <c r="D3129" s="795"/>
      <c r="E3129" s="795"/>
    </row>
    <row r="3130" spans="4:5" hidden="1">
      <c r="D3130" s="795"/>
      <c r="E3130" s="795"/>
    </row>
    <row r="3131" spans="4:5" hidden="1">
      <c r="D3131" s="795"/>
      <c r="E3131" s="795"/>
    </row>
    <row r="3132" spans="4:5" hidden="1">
      <c r="D3132" s="795"/>
      <c r="E3132" s="795"/>
    </row>
    <row r="3133" spans="4:5" hidden="1">
      <c r="D3133" s="795"/>
      <c r="E3133" s="795"/>
    </row>
    <row r="3134" spans="4:5" hidden="1">
      <c r="D3134" s="795"/>
      <c r="E3134" s="795"/>
    </row>
    <row r="3135" spans="4:5" hidden="1">
      <c r="D3135" s="795"/>
      <c r="E3135" s="795"/>
    </row>
    <row r="3136" spans="4:5" hidden="1">
      <c r="D3136" s="795"/>
      <c r="E3136" s="795"/>
    </row>
    <row r="3137" spans="4:5" hidden="1">
      <c r="D3137" s="795"/>
      <c r="E3137" s="795"/>
    </row>
    <row r="3138" spans="4:5" hidden="1">
      <c r="D3138" s="795"/>
      <c r="E3138" s="795"/>
    </row>
    <row r="3139" spans="4:5" hidden="1">
      <c r="D3139" s="795"/>
      <c r="E3139" s="795"/>
    </row>
    <row r="3140" spans="4:5" hidden="1">
      <c r="D3140" s="795"/>
      <c r="E3140" s="795"/>
    </row>
    <row r="3141" spans="4:5" hidden="1">
      <c r="D3141" s="795"/>
      <c r="E3141" s="795"/>
    </row>
    <row r="3142" spans="4:5" hidden="1">
      <c r="D3142" s="795"/>
      <c r="E3142" s="795"/>
    </row>
    <row r="3143" spans="4:5" hidden="1">
      <c r="D3143" s="795"/>
      <c r="E3143" s="795"/>
    </row>
    <row r="3144" spans="4:5" hidden="1">
      <c r="D3144" s="795"/>
      <c r="E3144" s="795"/>
    </row>
    <row r="3145" spans="4:5" hidden="1">
      <c r="D3145" s="795"/>
      <c r="E3145" s="795"/>
    </row>
    <row r="3146" spans="4:5" hidden="1">
      <c r="D3146" s="795"/>
      <c r="E3146" s="795"/>
    </row>
    <row r="3147" spans="4:5" hidden="1">
      <c r="D3147" s="795"/>
      <c r="E3147" s="795"/>
    </row>
    <row r="3148" spans="4:5" hidden="1">
      <c r="D3148" s="795"/>
      <c r="E3148" s="795"/>
    </row>
    <row r="3149" spans="4:5" hidden="1">
      <c r="D3149" s="795"/>
      <c r="E3149" s="795"/>
    </row>
    <row r="3150" spans="4:5" hidden="1">
      <c r="D3150" s="795"/>
      <c r="E3150" s="795"/>
    </row>
    <row r="3151" spans="4:5" hidden="1">
      <c r="D3151" s="795"/>
      <c r="E3151" s="795"/>
    </row>
    <row r="3152" spans="4:5" hidden="1">
      <c r="D3152" s="795"/>
      <c r="E3152" s="795"/>
    </row>
    <row r="3153" spans="4:5" hidden="1">
      <c r="D3153" s="795"/>
      <c r="E3153" s="795"/>
    </row>
    <row r="3154" spans="4:5" hidden="1">
      <c r="D3154" s="795"/>
      <c r="E3154" s="795"/>
    </row>
    <row r="3155" spans="4:5" hidden="1">
      <c r="D3155" s="795"/>
      <c r="E3155" s="795"/>
    </row>
    <row r="3156" spans="4:5" hidden="1">
      <c r="D3156" s="795"/>
      <c r="E3156" s="795"/>
    </row>
    <row r="3157" spans="4:5" hidden="1">
      <c r="D3157" s="795"/>
      <c r="E3157" s="795"/>
    </row>
    <row r="3158" spans="4:5" hidden="1">
      <c r="D3158" s="795"/>
      <c r="E3158" s="795"/>
    </row>
    <row r="3159" spans="4:5" hidden="1">
      <c r="D3159" s="795"/>
      <c r="E3159" s="795"/>
    </row>
    <row r="3160" spans="4:5" hidden="1">
      <c r="D3160" s="795"/>
      <c r="E3160" s="795"/>
    </row>
    <row r="3161" spans="4:5" hidden="1">
      <c r="D3161" s="795"/>
      <c r="E3161" s="795"/>
    </row>
    <row r="3162" spans="4:5" hidden="1">
      <c r="D3162" s="795"/>
      <c r="E3162" s="795"/>
    </row>
    <row r="3163" spans="4:5" hidden="1">
      <c r="D3163" s="795"/>
      <c r="E3163" s="795"/>
    </row>
    <row r="3164" spans="4:5" hidden="1">
      <c r="D3164" s="795"/>
      <c r="E3164" s="795"/>
    </row>
    <row r="3165" spans="4:5" hidden="1">
      <c r="D3165" s="795"/>
      <c r="E3165" s="795"/>
    </row>
    <row r="3166" spans="4:5" hidden="1">
      <c r="D3166" s="795"/>
      <c r="E3166" s="795"/>
    </row>
    <row r="3167" spans="4:5" hidden="1">
      <c r="D3167" s="795"/>
      <c r="E3167" s="795"/>
    </row>
    <row r="3168" spans="4:5" hidden="1">
      <c r="D3168" s="795"/>
      <c r="E3168" s="795"/>
    </row>
    <row r="3169" spans="4:5" hidden="1">
      <c r="D3169" s="795"/>
      <c r="E3169" s="795"/>
    </row>
    <row r="3170" spans="4:5" hidden="1">
      <c r="D3170" s="795"/>
      <c r="E3170" s="795"/>
    </row>
    <row r="3171" spans="4:5" hidden="1">
      <c r="D3171" s="795"/>
      <c r="E3171" s="795"/>
    </row>
    <row r="3172" spans="4:5" hidden="1">
      <c r="D3172" s="795"/>
      <c r="E3172" s="795"/>
    </row>
    <row r="3173" spans="4:5" hidden="1">
      <c r="D3173" s="795"/>
      <c r="E3173" s="795"/>
    </row>
    <row r="3174" spans="4:5" hidden="1">
      <c r="D3174" s="795"/>
      <c r="E3174" s="795"/>
    </row>
    <row r="3175" spans="4:5" hidden="1">
      <c r="D3175" s="795"/>
      <c r="E3175" s="795"/>
    </row>
    <row r="3176" spans="4:5" hidden="1">
      <c r="D3176" s="795"/>
      <c r="E3176" s="795"/>
    </row>
    <row r="3177" spans="4:5" hidden="1">
      <c r="D3177" s="795"/>
      <c r="E3177" s="795"/>
    </row>
    <row r="3178" spans="4:5" hidden="1">
      <c r="D3178" s="795"/>
      <c r="E3178" s="795"/>
    </row>
    <row r="3179" spans="4:5" hidden="1">
      <c r="D3179" s="795"/>
      <c r="E3179" s="795"/>
    </row>
    <row r="3180" spans="4:5" hidden="1">
      <c r="D3180" s="795"/>
      <c r="E3180" s="795"/>
    </row>
    <row r="3181" spans="4:5" hidden="1">
      <c r="D3181" s="795"/>
      <c r="E3181" s="795"/>
    </row>
    <row r="3182" spans="4:5" hidden="1">
      <c r="D3182" s="795"/>
      <c r="E3182" s="795"/>
    </row>
    <row r="3183" spans="4:5" hidden="1">
      <c r="D3183" s="795"/>
      <c r="E3183" s="795"/>
    </row>
    <row r="3184" spans="4:5" hidden="1">
      <c r="D3184" s="795"/>
      <c r="E3184" s="795"/>
    </row>
    <row r="3185" spans="4:5" hidden="1">
      <c r="D3185" s="795"/>
      <c r="E3185" s="795"/>
    </row>
    <row r="3186" spans="4:5" hidden="1">
      <c r="D3186" s="795"/>
      <c r="E3186" s="795"/>
    </row>
    <row r="3187" spans="4:5" hidden="1">
      <c r="D3187" s="795"/>
      <c r="E3187" s="795"/>
    </row>
    <row r="3188" spans="4:5" hidden="1">
      <c r="D3188" s="795"/>
      <c r="E3188" s="795"/>
    </row>
    <row r="3189" spans="4:5" hidden="1">
      <c r="D3189" s="795"/>
      <c r="E3189" s="795"/>
    </row>
    <row r="3190" spans="4:5" hidden="1">
      <c r="D3190" s="795"/>
      <c r="E3190" s="795"/>
    </row>
    <row r="3191" spans="4:5" hidden="1">
      <c r="D3191" s="795"/>
      <c r="E3191" s="795"/>
    </row>
    <row r="3192" spans="4:5" hidden="1">
      <c r="D3192" s="795"/>
      <c r="E3192" s="795"/>
    </row>
    <row r="3193" spans="4:5" hidden="1">
      <c r="D3193" s="795"/>
      <c r="E3193" s="795"/>
    </row>
    <row r="3194" spans="4:5" hidden="1">
      <c r="D3194" s="795"/>
      <c r="E3194" s="795"/>
    </row>
    <row r="3195" spans="4:5" hidden="1">
      <c r="D3195" s="795"/>
      <c r="E3195" s="795"/>
    </row>
    <row r="3196" spans="4:5" hidden="1">
      <c r="D3196" s="795"/>
      <c r="E3196" s="795"/>
    </row>
    <row r="3197" spans="4:5" hidden="1">
      <c r="D3197" s="795"/>
      <c r="E3197" s="795"/>
    </row>
    <row r="3198" spans="4:5" hidden="1">
      <c r="D3198" s="795"/>
      <c r="E3198" s="795"/>
    </row>
    <row r="3199" spans="4:5" hidden="1">
      <c r="D3199" s="795"/>
      <c r="E3199" s="795"/>
    </row>
    <row r="3200" spans="4:5" hidden="1">
      <c r="D3200" s="795"/>
      <c r="E3200" s="795"/>
    </row>
    <row r="3201" spans="4:5" hidden="1">
      <c r="D3201" s="795"/>
      <c r="E3201" s="795"/>
    </row>
    <row r="3202" spans="4:5" hidden="1">
      <c r="D3202" s="795"/>
      <c r="E3202" s="795"/>
    </row>
    <row r="3203" spans="4:5" hidden="1">
      <c r="D3203" s="795"/>
      <c r="E3203" s="795"/>
    </row>
    <row r="3204" spans="4:5" hidden="1">
      <c r="D3204" s="795"/>
      <c r="E3204" s="795"/>
    </row>
    <row r="3205" spans="4:5" hidden="1">
      <c r="D3205" s="795"/>
      <c r="E3205" s="795"/>
    </row>
    <row r="3206" spans="4:5" hidden="1">
      <c r="D3206" s="795"/>
      <c r="E3206" s="795"/>
    </row>
    <row r="3207" spans="4:5" hidden="1">
      <c r="D3207" s="795"/>
      <c r="E3207" s="795"/>
    </row>
    <row r="3208" spans="4:5" hidden="1">
      <c r="D3208" s="795"/>
      <c r="E3208" s="795"/>
    </row>
    <row r="3209" spans="4:5" hidden="1">
      <c r="D3209" s="795"/>
      <c r="E3209" s="795"/>
    </row>
    <row r="3210" spans="4:5" hidden="1">
      <c r="D3210" s="795"/>
      <c r="E3210" s="795"/>
    </row>
    <row r="3211" spans="4:5" hidden="1">
      <c r="D3211" s="795"/>
      <c r="E3211" s="795"/>
    </row>
    <row r="3212" spans="4:5" hidden="1">
      <c r="D3212" s="795"/>
      <c r="E3212" s="795"/>
    </row>
    <row r="3213" spans="4:5" hidden="1">
      <c r="D3213" s="795"/>
      <c r="E3213" s="795"/>
    </row>
    <row r="3214" spans="4:5" hidden="1">
      <c r="D3214" s="795"/>
      <c r="E3214" s="795"/>
    </row>
    <row r="3215" spans="4:5" hidden="1">
      <c r="D3215" s="795"/>
      <c r="E3215" s="795"/>
    </row>
    <row r="3216" spans="4:5" hidden="1">
      <c r="D3216" s="795"/>
      <c r="E3216" s="795"/>
    </row>
    <row r="3217" spans="4:5" hidden="1">
      <c r="D3217" s="795"/>
      <c r="E3217" s="795"/>
    </row>
    <row r="3218" spans="4:5" hidden="1">
      <c r="D3218" s="795"/>
      <c r="E3218" s="795"/>
    </row>
    <row r="3219" spans="4:5" hidden="1">
      <c r="D3219" s="795"/>
      <c r="E3219" s="795"/>
    </row>
    <row r="3220" spans="4:5" hidden="1">
      <c r="D3220" s="795"/>
      <c r="E3220" s="795"/>
    </row>
    <row r="3221" spans="4:5" hidden="1">
      <c r="D3221" s="795"/>
      <c r="E3221" s="795"/>
    </row>
    <row r="3222" spans="4:5" hidden="1">
      <c r="D3222" s="795"/>
      <c r="E3222" s="795"/>
    </row>
    <row r="3223" spans="4:5" hidden="1">
      <c r="D3223" s="795"/>
      <c r="E3223" s="795"/>
    </row>
    <row r="3224" spans="4:5" hidden="1">
      <c r="D3224" s="795"/>
      <c r="E3224" s="795"/>
    </row>
    <row r="3225" spans="4:5" hidden="1">
      <c r="D3225" s="795"/>
      <c r="E3225" s="795"/>
    </row>
    <row r="3226" spans="4:5" hidden="1">
      <c r="D3226" s="795"/>
      <c r="E3226" s="795"/>
    </row>
    <row r="3227" spans="4:5" hidden="1">
      <c r="D3227" s="795"/>
      <c r="E3227" s="795"/>
    </row>
    <row r="3228" spans="4:5" hidden="1">
      <c r="D3228" s="795"/>
      <c r="E3228" s="795"/>
    </row>
    <row r="3229" spans="4:5" hidden="1">
      <c r="D3229" s="795"/>
      <c r="E3229" s="795"/>
    </row>
    <row r="3230" spans="4:5" hidden="1">
      <c r="D3230" s="795"/>
      <c r="E3230" s="795"/>
    </row>
    <row r="3231" spans="4:5" hidden="1">
      <c r="D3231" s="795"/>
      <c r="E3231" s="795"/>
    </row>
    <row r="3232" spans="4:5" hidden="1">
      <c r="D3232" s="795"/>
      <c r="E3232" s="795"/>
    </row>
    <row r="3233" spans="4:5" hidden="1">
      <c r="D3233" s="795"/>
      <c r="E3233" s="795"/>
    </row>
    <row r="3234" spans="4:5" hidden="1">
      <c r="D3234" s="795"/>
      <c r="E3234" s="795"/>
    </row>
    <row r="3235" spans="4:5" hidden="1">
      <c r="D3235" s="795"/>
      <c r="E3235" s="795"/>
    </row>
    <row r="3236" spans="4:5" hidden="1">
      <c r="D3236" s="795"/>
      <c r="E3236" s="795"/>
    </row>
    <row r="3237" spans="4:5" hidden="1">
      <c r="D3237" s="795"/>
      <c r="E3237" s="795"/>
    </row>
    <row r="3238" spans="4:5" hidden="1">
      <c r="D3238" s="795"/>
      <c r="E3238" s="795"/>
    </row>
    <row r="3239" spans="4:5" hidden="1">
      <c r="D3239" s="795"/>
      <c r="E3239" s="795"/>
    </row>
    <row r="3240" spans="4:5" hidden="1">
      <c r="D3240" s="795"/>
      <c r="E3240" s="795"/>
    </row>
    <row r="3241" spans="4:5" hidden="1">
      <c r="D3241" s="795"/>
      <c r="E3241" s="795"/>
    </row>
    <row r="3242" spans="4:5" hidden="1">
      <c r="D3242" s="795"/>
      <c r="E3242" s="795"/>
    </row>
    <row r="3243" spans="4:5" hidden="1">
      <c r="D3243" s="795"/>
      <c r="E3243" s="795"/>
    </row>
    <row r="3244" spans="4:5" hidden="1">
      <c r="D3244" s="795"/>
      <c r="E3244" s="795"/>
    </row>
    <row r="3245" spans="4:5" hidden="1">
      <c r="D3245" s="795"/>
      <c r="E3245" s="795"/>
    </row>
    <row r="3246" spans="4:5" hidden="1">
      <c r="D3246" s="795"/>
      <c r="E3246" s="795"/>
    </row>
    <row r="3247" spans="4:5" hidden="1">
      <c r="D3247" s="795"/>
      <c r="E3247" s="795"/>
    </row>
    <row r="3248" spans="4:5" hidden="1">
      <c r="D3248" s="795"/>
      <c r="E3248" s="795"/>
    </row>
    <row r="3249" spans="4:5" hidden="1">
      <c r="D3249" s="795"/>
      <c r="E3249" s="795"/>
    </row>
    <row r="3250" spans="4:5" hidden="1">
      <c r="D3250" s="795"/>
      <c r="E3250" s="795"/>
    </row>
    <row r="3251" spans="4:5" hidden="1">
      <c r="D3251" s="795"/>
      <c r="E3251" s="795"/>
    </row>
    <row r="3252" spans="4:5" hidden="1">
      <c r="D3252" s="795"/>
      <c r="E3252" s="795"/>
    </row>
    <row r="3253" spans="4:5" hidden="1">
      <c r="D3253" s="795"/>
      <c r="E3253" s="795"/>
    </row>
    <row r="3254" spans="4:5" hidden="1">
      <c r="D3254" s="795"/>
      <c r="E3254" s="795"/>
    </row>
    <row r="3255" spans="4:5" hidden="1">
      <c r="D3255" s="795"/>
      <c r="E3255" s="795"/>
    </row>
    <row r="3256" spans="4:5" hidden="1">
      <c r="D3256" s="795"/>
      <c r="E3256" s="795"/>
    </row>
    <row r="3257" spans="4:5" hidden="1">
      <c r="D3257" s="795"/>
      <c r="E3257" s="795"/>
    </row>
    <row r="3258" spans="4:5" hidden="1">
      <c r="D3258" s="795"/>
      <c r="E3258" s="795"/>
    </row>
    <row r="3259" spans="4:5" hidden="1">
      <c r="D3259" s="795"/>
      <c r="E3259" s="795"/>
    </row>
    <row r="3260" spans="4:5" hidden="1">
      <c r="D3260" s="795"/>
      <c r="E3260" s="795"/>
    </row>
    <row r="3261" spans="4:5" hidden="1">
      <c r="D3261" s="795"/>
      <c r="E3261" s="795"/>
    </row>
    <row r="3262" spans="4:5" hidden="1">
      <c r="D3262" s="795"/>
      <c r="E3262" s="795"/>
    </row>
    <row r="3263" spans="4:5" hidden="1">
      <c r="D3263" s="795"/>
      <c r="E3263" s="795"/>
    </row>
    <row r="3264" spans="4:5" hidden="1">
      <c r="D3264" s="795"/>
      <c r="E3264" s="795"/>
    </row>
    <row r="3265" spans="4:5" hidden="1">
      <c r="D3265" s="795"/>
      <c r="E3265" s="795"/>
    </row>
    <row r="3266" spans="4:5" hidden="1">
      <c r="D3266" s="795"/>
      <c r="E3266" s="795"/>
    </row>
    <row r="3267" spans="4:5" hidden="1">
      <c r="D3267" s="795"/>
      <c r="E3267" s="795"/>
    </row>
    <row r="3268" spans="4:5" hidden="1">
      <c r="D3268" s="795"/>
      <c r="E3268" s="795"/>
    </row>
    <row r="3269" spans="4:5" hidden="1">
      <c r="D3269" s="795"/>
      <c r="E3269" s="795"/>
    </row>
    <row r="3270" spans="4:5" hidden="1">
      <c r="D3270" s="795"/>
      <c r="E3270" s="795"/>
    </row>
    <row r="3271" spans="4:5" hidden="1">
      <c r="D3271" s="795"/>
      <c r="E3271" s="795"/>
    </row>
    <row r="3272" spans="4:5" hidden="1">
      <c r="D3272" s="795"/>
      <c r="E3272" s="795"/>
    </row>
    <row r="3273" spans="4:5" hidden="1">
      <c r="D3273" s="795"/>
      <c r="E3273" s="795"/>
    </row>
    <row r="3274" spans="4:5" hidden="1">
      <c r="D3274" s="795"/>
      <c r="E3274" s="795"/>
    </row>
    <row r="3275" spans="4:5" hidden="1">
      <c r="D3275" s="795"/>
      <c r="E3275" s="795"/>
    </row>
    <row r="3276" spans="4:5" hidden="1">
      <c r="D3276" s="795"/>
      <c r="E3276" s="795"/>
    </row>
    <row r="3277" spans="4:5" hidden="1">
      <c r="D3277" s="795"/>
      <c r="E3277" s="795"/>
    </row>
    <row r="3278" spans="4:5" hidden="1">
      <c r="D3278" s="795"/>
      <c r="E3278" s="795"/>
    </row>
    <row r="3279" spans="4:5" hidden="1">
      <c r="D3279" s="795"/>
      <c r="E3279" s="795"/>
    </row>
    <row r="3280" spans="4:5" hidden="1">
      <c r="D3280" s="795"/>
      <c r="E3280" s="795"/>
    </row>
    <row r="3281" spans="4:5" hidden="1">
      <c r="D3281" s="795"/>
      <c r="E3281" s="795"/>
    </row>
    <row r="3282" spans="4:5" hidden="1">
      <c r="D3282" s="795"/>
      <c r="E3282" s="795"/>
    </row>
    <row r="3283" spans="4:5" hidden="1">
      <c r="D3283" s="795"/>
      <c r="E3283" s="795"/>
    </row>
    <row r="3284" spans="4:5" hidden="1">
      <c r="D3284" s="795"/>
      <c r="E3284" s="795"/>
    </row>
    <row r="3285" spans="4:5" hidden="1">
      <c r="D3285" s="795"/>
      <c r="E3285" s="795"/>
    </row>
    <row r="3286" spans="4:5" hidden="1">
      <c r="D3286" s="795"/>
      <c r="E3286" s="795"/>
    </row>
    <row r="3287" spans="4:5" hidden="1">
      <c r="D3287" s="795"/>
      <c r="E3287" s="795"/>
    </row>
    <row r="3288" spans="4:5" hidden="1">
      <c r="D3288" s="795"/>
      <c r="E3288" s="795"/>
    </row>
    <row r="3289" spans="4:5" hidden="1">
      <c r="D3289" s="795"/>
      <c r="E3289" s="795"/>
    </row>
    <row r="3290" spans="4:5" hidden="1">
      <c r="D3290" s="795"/>
      <c r="E3290" s="795"/>
    </row>
    <row r="3291" spans="4:5" hidden="1">
      <c r="D3291" s="795"/>
      <c r="E3291" s="795"/>
    </row>
    <row r="3292" spans="4:5" hidden="1">
      <c r="D3292" s="795"/>
      <c r="E3292" s="795"/>
    </row>
    <row r="3293" spans="4:5" hidden="1">
      <c r="D3293" s="795"/>
      <c r="E3293" s="795"/>
    </row>
    <row r="3294" spans="4:5" hidden="1">
      <c r="D3294" s="795"/>
      <c r="E3294" s="795"/>
    </row>
    <row r="3295" spans="4:5" hidden="1">
      <c r="D3295" s="795"/>
      <c r="E3295" s="795"/>
    </row>
    <row r="3296" spans="4:5" hidden="1">
      <c r="D3296" s="795"/>
      <c r="E3296" s="795"/>
    </row>
    <row r="3297" spans="4:5" hidden="1">
      <c r="D3297" s="795"/>
      <c r="E3297" s="795"/>
    </row>
    <row r="3298" spans="4:5" hidden="1">
      <c r="D3298" s="795"/>
      <c r="E3298" s="795"/>
    </row>
    <row r="3299" spans="4:5" hidden="1">
      <c r="D3299" s="795"/>
      <c r="E3299" s="795"/>
    </row>
    <row r="3300" spans="4:5" hidden="1">
      <c r="D3300" s="795"/>
      <c r="E3300" s="795"/>
    </row>
    <row r="3301" spans="4:5" hidden="1">
      <c r="D3301" s="795"/>
      <c r="E3301" s="795"/>
    </row>
    <row r="3302" spans="4:5" hidden="1">
      <c r="D3302" s="795"/>
      <c r="E3302" s="795"/>
    </row>
    <row r="3303" spans="4:5" hidden="1">
      <c r="D3303" s="795"/>
      <c r="E3303" s="795"/>
    </row>
    <row r="3304" spans="4:5" hidden="1">
      <c r="D3304" s="795"/>
      <c r="E3304" s="795"/>
    </row>
    <row r="3305" spans="4:5" hidden="1">
      <c r="D3305" s="795"/>
      <c r="E3305" s="795"/>
    </row>
    <row r="3306" spans="4:5" hidden="1">
      <c r="D3306" s="795"/>
      <c r="E3306" s="795"/>
    </row>
    <row r="3307" spans="4:5" hidden="1">
      <c r="D3307" s="795"/>
      <c r="E3307" s="795"/>
    </row>
    <row r="3308" spans="4:5" hidden="1">
      <c r="D3308" s="795"/>
      <c r="E3308" s="795"/>
    </row>
    <row r="3309" spans="4:5" hidden="1">
      <c r="D3309" s="795"/>
      <c r="E3309" s="795"/>
    </row>
    <row r="3310" spans="4:5" hidden="1">
      <c r="D3310" s="795"/>
      <c r="E3310" s="795"/>
    </row>
    <row r="3311" spans="4:5" hidden="1">
      <c r="D3311" s="795"/>
      <c r="E3311" s="795"/>
    </row>
    <row r="3312" spans="4:5" hidden="1">
      <c r="D3312" s="795"/>
      <c r="E3312" s="795"/>
    </row>
    <row r="3313" spans="4:5" hidden="1">
      <c r="D3313" s="795"/>
      <c r="E3313" s="795"/>
    </row>
    <row r="3314" spans="4:5" hidden="1">
      <c r="D3314" s="795"/>
      <c r="E3314" s="795"/>
    </row>
    <row r="3315" spans="4:5" hidden="1">
      <c r="D3315" s="795"/>
      <c r="E3315" s="795"/>
    </row>
    <row r="3316" spans="4:5" hidden="1">
      <c r="D3316" s="795"/>
      <c r="E3316" s="795"/>
    </row>
    <row r="3317" spans="4:5" hidden="1">
      <c r="D3317" s="795"/>
      <c r="E3317" s="795"/>
    </row>
    <row r="3318" spans="4:5" hidden="1">
      <c r="D3318" s="795"/>
      <c r="E3318" s="795"/>
    </row>
    <row r="3319" spans="4:5" hidden="1">
      <c r="D3319" s="795"/>
      <c r="E3319" s="795"/>
    </row>
    <row r="3320" spans="4:5" hidden="1">
      <c r="D3320" s="795"/>
      <c r="E3320" s="795"/>
    </row>
    <row r="3321" spans="4:5" hidden="1">
      <c r="D3321" s="795"/>
      <c r="E3321" s="795"/>
    </row>
    <row r="3322" spans="4:5" hidden="1">
      <c r="D3322" s="795"/>
      <c r="E3322" s="795"/>
    </row>
    <row r="3323" spans="4:5" hidden="1">
      <c r="D3323" s="795"/>
      <c r="E3323" s="795"/>
    </row>
    <row r="3324" spans="4:5" hidden="1">
      <c r="D3324" s="795"/>
      <c r="E3324" s="795"/>
    </row>
    <row r="3325" spans="4:5" hidden="1">
      <c r="D3325" s="795"/>
      <c r="E3325" s="795"/>
    </row>
    <row r="3326" spans="4:5" hidden="1">
      <c r="D3326" s="795"/>
      <c r="E3326" s="795"/>
    </row>
    <row r="3327" spans="4:5" hidden="1">
      <c r="D3327" s="795"/>
      <c r="E3327" s="795"/>
    </row>
    <row r="3328" spans="4:5" hidden="1">
      <c r="D3328" s="795"/>
      <c r="E3328" s="795"/>
    </row>
    <row r="3329" spans="4:5" hidden="1">
      <c r="D3329" s="795"/>
      <c r="E3329" s="795"/>
    </row>
    <row r="3330" spans="4:5" hidden="1">
      <c r="D3330" s="795"/>
      <c r="E3330" s="795"/>
    </row>
    <row r="3331" spans="4:5" hidden="1">
      <c r="D3331" s="795"/>
      <c r="E3331" s="795"/>
    </row>
    <row r="3332" spans="4:5" hidden="1">
      <c r="D3332" s="795"/>
      <c r="E3332" s="795"/>
    </row>
    <row r="3333" spans="4:5" hidden="1">
      <c r="D3333" s="795"/>
      <c r="E3333" s="795"/>
    </row>
    <row r="3334" spans="4:5" hidden="1">
      <c r="D3334" s="795"/>
      <c r="E3334" s="795"/>
    </row>
    <row r="3335" spans="4:5" hidden="1">
      <c r="D3335" s="795"/>
      <c r="E3335" s="795"/>
    </row>
    <row r="3336" spans="4:5" hidden="1">
      <c r="D3336" s="795"/>
      <c r="E3336" s="795"/>
    </row>
    <row r="3337" spans="4:5" hidden="1">
      <c r="D3337" s="795"/>
      <c r="E3337" s="795"/>
    </row>
    <row r="3338" spans="4:5" hidden="1">
      <c r="D3338" s="795"/>
      <c r="E3338" s="795"/>
    </row>
    <row r="3339" spans="4:5" hidden="1">
      <c r="D3339" s="795"/>
      <c r="E3339" s="795"/>
    </row>
    <row r="3340" spans="4:5" hidden="1">
      <c r="D3340" s="795"/>
      <c r="E3340" s="795"/>
    </row>
    <row r="3341" spans="4:5" hidden="1">
      <c r="D3341" s="795"/>
      <c r="E3341" s="795"/>
    </row>
    <row r="3342" spans="4:5" hidden="1">
      <c r="D3342" s="795"/>
      <c r="E3342" s="795"/>
    </row>
    <row r="3343" spans="4:5" hidden="1">
      <c r="D3343" s="795"/>
      <c r="E3343" s="795"/>
    </row>
    <row r="3344" spans="4:5" hidden="1">
      <c r="D3344" s="795"/>
      <c r="E3344" s="795"/>
    </row>
    <row r="3345" spans="4:5" hidden="1">
      <c r="D3345" s="795"/>
      <c r="E3345" s="795"/>
    </row>
    <row r="3346" spans="4:5" hidden="1">
      <c r="D3346" s="795"/>
      <c r="E3346" s="795"/>
    </row>
    <row r="3347" spans="4:5" hidden="1">
      <c r="D3347" s="795"/>
      <c r="E3347" s="795"/>
    </row>
    <row r="3348" spans="4:5" hidden="1">
      <c r="D3348" s="795"/>
      <c r="E3348" s="795"/>
    </row>
    <row r="3349" spans="4:5" hidden="1">
      <c r="D3349" s="795"/>
      <c r="E3349" s="795"/>
    </row>
    <row r="3350" spans="4:5" hidden="1">
      <c r="D3350" s="795"/>
      <c r="E3350" s="795"/>
    </row>
    <row r="3351" spans="4:5" hidden="1">
      <c r="D3351" s="795"/>
      <c r="E3351" s="795"/>
    </row>
    <row r="3352" spans="4:5" hidden="1">
      <c r="D3352" s="795"/>
      <c r="E3352" s="795"/>
    </row>
    <row r="3353" spans="4:5" hidden="1">
      <c r="D3353" s="795"/>
      <c r="E3353" s="795"/>
    </row>
    <row r="3354" spans="4:5" hidden="1">
      <c r="D3354" s="795"/>
      <c r="E3354" s="795"/>
    </row>
    <row r="3355" spans="4:5" hidden="1">
      <c r="D3355" s="795"/>
      <c r="E3355" s="795"/>
    </row>
    <row r="3356" spans="4:5" hidden="1">
      <c r="D3356" s="795"/>
      <c r="E3356" s="795"/>
    </row>
    <row r="3357" spans="4:5" hidden="1">
      <c r="D3357" s="795"/>
      <c r="E3357" s="795"/>
    </row>
    <row r="3358" spans="4:5" hidden="1">
      <c r="D3358" s="795"/>
      <c r="E3358" s="795"/>
    </row>
    <row r="3359" spans="4:5" hidden="1">
      <c r="D3359" s="795"/>
      <c r="E3359" s="795"/>
    </row>
    <row r="3360" spans="4:5" hidden="1">
      <c r="D3360" s="795"/>
      <c r="E3360" s="795"/>
    </row>
    <row r="3361" spans="4:5" hidden="1">
      <c r="D3361" s="795"/>
      <c r="E3361" s="795"/>
    </row>
    <row r="3362" spans="4:5" hidden="1">
      <c r="D3362" s="795"/>
      <c r="E3362" s="795"/>
    </row>
    <row r="3363" spans="4:5" hidden="1">
      <c r="D3363" s="795"/>
      <c r="E3363" s="795"/>
    </row>
    <row r="3364" spans="4:5" hidden="1">
      <c r="D3364" s="795"/>
      <c r="E3364" s="795"/>
    </row>
    <row r="3365" spans="4:5" hidden="1">
      <c r="D3365" s="795"/>
      <c r="E3365" s="795"/>
    </row>
    <row r="3366" spans="4:5" hidden="1">
      <c r="D3366" s="795"/>
      <c r="E3366" s="795"/>
    </row>
    <row r="3367" spans="4:5" hidden="1">
      <c r="D3367" s="795"/>
      <c r="E3367" s="795"/>
    </row>
    <row r="3368" spans="4:5" hidden="1">
      <c r="D3368" s="795"/>
      <c r="E3368" s="795"/>
    </row>
    <row r="3369" spans="4:5" hidden="1">
      <c r="D3369" s="795"/>
      <c r="E3369" s="795"/>
    </row>
    <row r="3370" spans="4:5" hidden="1">
      <c r="D3370" s="795"/>
      <c r="E3370" s="795"/>
    </row>
    <row r="3371" spans="4:5" hidden="1">
      <c r="D3371" s="795"/>
      <c r="E3371" s="795"/>
    </row>
    <row r="3372" spans="4:5" hidden="1">
      <c r="D3372" s="795"/>
      <c r="E3372" s="795"/>
    </row>
    <row r="3373" spans="4:5" hidden="1">
      <c r="D3373" s="795"/>
      <c r="E3373" s="795"/>
    </row>
    <row r="3374" spans="4:5" hidden="1">
      <c r="D3374" s="795"/>
      <c r="E3374" s="795"/>
    </row>
    <row r="3375" spans="4:5" hidden="1">
      <c r="D3375" s="795"/>
      <c r="E3375" s="795"/>
    </row>
    <row r="3376" spans="4:5" hidden="1">
      <c r="D3376" s="795"/>
      <c r="E3376" s="795"/>
    </row>
    <row r="3377" spans="4:5" hidden="1">
      <c r="D3377" s="795"/>
      <c r="E3377" s="795"/>
    </row>
    <row r="3378" spans="4:5" hidden="1">
      <c r="D3378" s="795"/>
      <c r="E3378" s="795"/>
    </row>
    <row r="3379" spans="4:5" hidden="1">
      <c r="D3379" s="795"/>
      <c r="E3379" s="795"/>
    </row>
    <row r="3380" spans="4:5" hidden="1">
      <c r="D3380" s="795"/>
      <c r="E3380" s="795"/>
    </row>
    <row r="3381" spans="4:5" hidden="1">
      <c r="D3381" s="795"/>
      <c r="E3381" s="795"/>
    </row>
    <row r="3382" spans="4:5" hidden="1">
      <c r="D3382" s="795"/>
      <c r="E3382" s="795"/>
    </row>
    <row r="3383" spans="4:5" hidden="1">
      <c r="D3383" s="795"/>
      <c r="E3383" s="795"/>
    </row>
    <row r="3384" spans="4:5" hidden="1">
      <c r="D3384" s="795"/>
      <c r="E3384" s="795"/>
    </row>
    <row r="3385" spans="4:5" hidden="1">
      <c r="D3385" s="795"/>
      <c r="E3385" s="795"/>
    </row>
    <row r="3386" spans="4:5" hidden="1">
      <c r="D3386" s="795"/>
      <c r="E3386" s="795"/>
    </row>
    <row r="3387" spans="4:5" hidden="1">
      <c r="D3387" s="795"/>
      <c r="E3387" s="795"/>
    </row>
    <row r="3388" spans="4:5" hidden="1">
      <c r="D3388" s="795"/>
      <c r="E3388" s="795"/>
    </row>
    <row r="3389" spans="4:5" hidden="1">
      <c r="D3389" s="795"/>
      <c r="E3389" s="795"/>
    </row>
    <row r="3390" spans="4:5" hidden="1">
      <c r="D3390" s="795"/>
      <c r="E3390" s="795"/>
    </row>
    <row r="3391" spans="4:5" hidden="1">
      <c r="D3391" s="795"/>
      <c r="E3391" s="795"/>
    </row>
    <row r="3392" spans="4:5" hidden="1">
      <c r="D3392" s="795"/>
      <c r="E3392" s="795"/>
    </row>
    <row r="3393" spans="4:5" hidden="1">
      <c r="D3393" s="795"/>
      <c r="E3393" s="795"/>
    </row>
    <row r="3394" spans="4:5" hidden="1">
      <c r="D3394" s="795"/>
      <c r="E3394" s="795"/>
    </row>
    <row r="3395" spans="4:5" hidden="1">
      <c r="D3395" s="795"/>
      <c r="E3395" s="795"/>
    </row>
    <row r="3396" spans="4:5" hidden="1">
      <c r="D3396" s="795"/>
      <c r="E3396" s="795"/>
    </row>
    <row r="3397" spans="4:5" hidden="1">
      <c r="D3397" s="795"/>
      <c r="E3397" s="795"/>
    </row>
    <row r="3398" spans="4:5" hidden="1">
      <c r="D3398" s="795"/>
      <c r="E3398" s="795"/>
    </row>
    <row r="3399" spans="4:5" hidden="1">
      <c r="D3399" s="795"/>
      <c r="E3399" s="795"/>
    </row>
    <row r="3400" spans="4:5" hidden="1">
      <c r="D3400" s="795"/>
      <c r="E3400" s="795"/>
    </row>
    <row r="3401" spans="4:5" hidden="1">
      <c r="D3401" s="795"/>
      <c r="E3401" s="795"/>
    </row>
    <row r="3402" spans="4:5" hidden="1">
      <c r="D3402" s="795"/>
      <c r="E3402" s="795"/>
    </row>
    <row r="3403" spans="4:5" hidden="1">
      <c r="D3403" s="795"/>
      <c r="E3403" s="795"/>
    </row>
    <row r="3404" spans="4:5" hidden="1">
      <c r="D3404" s="795"/>
      <c r="E3404" s="795"/>
    </row>
    <row r="3405" spans="4:5" hidden="1">
      <c r="D3405" s="795"/>
      <c r="E3405" s="795"/>
    </row>
    <row r="3406" spans="4:5" hidden="1">
      <c r="D3406" s="795"/>
      <c r="E3406" s="795"/>
    </row>
    <row r="3407" spans="4:5" hidden="1">
      <c r="D3407" s="795"/>
      <c r="E3407" s="795"/>
    </row>
    <row r="3408" spans="4:5" hidden="1">
      <c r="D3408" s="795"/>
      <c r="E3408" s="795"/>
    </row>
    <row r="3409" spans="4:5" hidden="1">
      <c r="D3409" s="795"/>
      <c r="E3409" s="795"/>
    </row>
    <row r="3410" spans="4:5" hidden="1">
      <c r="D3410" s="795"/>
      <c r="E3410" s="795"/>
    </row>
    <row r="3411" spans="4:5" hidden="1">
      <c r="D3411" s="795"/>
      <c r="E3411" s="795"/>
    </row>
    <row r="3412" spans="4:5" hidden="1">
      <c r="D3412" s="795"/>
      <c r="E3412" s="795"/>
    </row>
    <row r="3413" spans="4:5" hidden="1">
      <c r="D3413" s="795"/>
      <c r="E3413" s="795"/>
    </row>
    <row r="3414" spans="4:5" hidden="1">
      <c r="D3414" s="795"/>
      <c r="E3414" s="795"/>
    </row>
    <row r="3415" spans="4:5" hidden="1">
      <c r="D3415" s="795"/>
      <c r="E3415" s="795"/>
    </row>
    <row r="3416" spans="4:5" hidden="1">
      <c r="D3416" s="795"/>
      <c r="E3416" s="795"/>
    </row>
    <row r="3417" spans="4:5" hidden="1">
      <c r="D3417" s="795"/>
      <c r="E3417" s="795"/>
    </row>
    <row r="3418" spans="4:5" hidden="1">
      <c r="D3418" s="795"/>
      <c r="E3418" s="795"/>
    </row>
    <row r="3419" spans="4:5" hidden="1">
      <c r="D3419" s="795"/>
      <c r="E3419" s="795"/>
    </row>
    <row r="3420" spans="4:5" hidden="1">
      <c r="D3420" s="795"/>
      <c r="E3420" s="795"/>
    </row>
    <row r="3421" spans="4:5" hidden="1">
      <c r="D3421" s="795"/>
      <c r="E3421" s="795"/>
    </row>
    <row r="3422" spans="4:5" hidden="1">
      <c r="D3422" s="795"/>
      <c r="E3422" s="795"/>
    </row>
    <row r="3423" spans="4:5" hidden="1">
      <c r="D3423" s="795"/>
      <c r="E3423" s="795"/>
    </row>
    <row r="3424" spans="4:5" hidden="1">
      <c r="D3424" s="795"/>
      <c r="E3424" s="795"/>
    </row>
    <row r="3425" spans="4:5" hidden="1">
      <c r="D3425" s="795"/>
      <c r="E3425" s="795"/>
    </row>
    <row r="3426" spans="4:5" hidden="1">
      <c r="D3426" s="795"/>
      <c r="E3426" s="795"/>
    </row>
    <row r="3427" spans="4:5" hidden="1">
      <c r="D3427" s="795"/>
      <c r="E3427" s="795"/>
    </row>
    <row r="3428" spans="4:5" hidden="1">
      <c r="D3428" s="795"/>
      <c r="E3428" s="795"/>
    </row>
    <row r="3429" spans="4:5" hidden="1">
      <c r="D3429" s="795"/>
      <c r="E3429" s="795"/>
    </row>
    <row r="3430" spans="4:5" hidden="1">
      <c r="D3430" s="795"/>
      <c r="E3430" s="795"/>
    </row>
    <row r="3431" spans="4:5" hidden="1">
      <c r="D3431" s="795"/>
      <c r="E3431" s="795"/>
    </row>
    <row r="3432" spans="4:5" hidden="1">
      <c r="D3432" s="795"/>
      <c r="E3432" s="795"/>
    </row>
    <row r="3433" spans="4:5" hidden="1">
      <c r="D3433" s="795"/>
      <c r="E3433" s="795"/>
    </row>
    <row r="3434" spans="4:5" hidden="1">
      <c r="D3434" s="795"/>
      <c r="E3434" s="795"/>
    </row>
    <row r="3435" spans="4:5" hidden="1">
      <c r="D3435" s="795"/>
      <c r="E3435" s="795"/>
    </row>
    <row r="3436" spans="4:5" hidden="1">
      <c r="D3436" s="795"/>
      <c r="E3436" s="795"/>
    </row>
    <row r="3437" spans="4:5" hidden="1">
      <c r="D3437" s="795"/>
      <c r="E3437" s="795"/>
    </row>
    <row r="3438" spans="4:5" hidden="1">
      <c r="D3438" s="795"/>
      <c r="E3438" s="795"/>
    </row>
    <row r="3439" spans="4:5" hidden="1">
      <c r="D3439" s="795"/>
      <c r="E3439" s="795"/>
    </row>
    <row r="3440" spans="4:5" hidden="1">
      <c r="D3440" s="795"/>
      <c r="E3440" s="795"/>
    </row>
    <row r="3441" spans="4:5" hidden="1">
      <c r="D3441" s="795"/>
      <c r="E3441" s="795"/>
    </row>
    <row r="3442" spans="4:5" hidden="1">
      <c r="D3442" s="795"/>
      <c r="E3442" s="795"/>
    </row>
    <row r="3443" spans="4:5" hidden="1">
      <c r="D3443" s="795"/>
      <c r="E3443" s="795"/>
    </row>
    <row r="3444" spans="4:5" hidden="1">
      <c r="D3444" s="795"/>
      <c r="E3444" s="795"/>
    </row>
    <row r="3445" spans="4:5" hidden="1">
      <c r="D3445" s="795"/>
      <c r="E3445" s="795"/>
    </row>
    <row r="3446" spans="4:5" hidden="1">
      <c r="D3446" s="795"/>
      <c r="E3446" s="795"/>
    </row>
    <row r="3447" spans="4:5" hidden="1">
      <c r="D3447" s="795"/>
      <c r="E3447" s="795"/>
    </row>
    <row r="3448" spans="4:5" hidden="1">
      <c r="D3448" s="795"/>
      <c r="E3448" s="795"/>
    </row>
    <row r="3449" spans="4:5" hidden="1">
      <c r="D3449" s="795"/>
      <c r="E3449" s="795"/>
    </row>
    <row r="3450" spans="4:5" hidden="1">
      <c r="D3450" s="795"/>
      <c r="E3450" s="795"/>
    </row>
    <row r="3451" spans="4:5" hidden="1">
      <c r="D3451" s="795"/>
      <c r="E3451" s="795"/>
    </row>
    <row r="3452" spans="4:5" hidden="1">
      <c r="D3452" s="795"/>
      <c r="E3452" s="795"/>
    </row>
    <row r="3453" spans="4:5" hidden="1">
      <c r="D3453" s="795"/>
      <c r="E3453" s="795"/>
    </row>
    <row r="3454" spans="4:5" hidden="1">
      <c r="D3454" s="795"/>
      <c r="E3454" s="795"/>
    </row>
    <row r="3455" spans="4:5" hidden="1">
      <c r="D3455" s="795"/>
      <c r="E3455" s="795"/>
    </row>
    <row r="3456" spans="4:5" hidden="1">
      <c r="D3456" s="795"/>
      <c r="E3456" s="795"/>
    </row>
    <row r="3457" spans="4:5" hidden="1">
      <c r="D3457" s="795"/>
      <c r="E3457" s="795"/>
    </row>
    <row r="3458" spans="4:5" hidden="1">
      <c r="D3458" s="795"/>
      <c r="E3458" s="795"/>
    </row>
    <row r="3459" spans="4:5" hidden="1">
      <c r="D3459" s="795"/>
      <c r="E3459" s="795"/>
    </row>
    <row r="3460" spans="4:5" hidden="1">
      <c r="D3460" s="795"/>
      <c r="E3460" s="795"/>
    </row>
    <row r="3461" spans="4:5" hidden="1">
      <c r="D3461" s="795"/>
      <c r="E3461" s="795"/>
    </row>
    <row r="3462" spans="4:5" hidden="1">
      <c r="D3462" s="795"/>
      <c r="E3462" s="795"/>
    </row>
    <row r="3463" spans="4:5" hidden="1">
      <c r="D3463" s="795"/>
      <c r="E3463" s="795"/>
    </row>
    <row r="3464" spans="4:5" hidden="1">
      <c r="D3464" s="795"/>
      <c r="E3464" s="795"/>
    </row>
    <row r="3465" spans="4:5" hidden="1">
      <c r="D3465" s="795"/>
      <c r="E3465" s="795"/>
    </row>
    <row r="3466" spans="4:5" hidden="1">
      <c r="D3466" s="795"/>
      <c r="E3466" s="795"/>
    </row>
    <row r="3467" spans="4:5" hidden="1">
      <c r="D3467" s="795"/>
      <c r="E3467" s="795"/>
    </row>
    <row r="3468" spans="4:5" hidden="1">
      <c r="D3468" s="795"/>
      <c r="E3468" s="795"/>
    </row>
    <row r="3469" spans="4:5" hidden="1">
      <c r="D3469" s="795"/>
      <c r="E3469" s="795"/>
    </row>
    <row r="3470" spans="4:5" hidden="1">
      <c r="D3470" s="795"/>
      <c r="E3470" s="795"/>
    </row>
    <row r="3471" spans="4:5" hidden="1">
      <c r="D3471" s="795"/>
      <c r="E3471" s="795"/>
    </row>
    <row r="3472" spans="4:5" hidden="1">
      <c r="D3472" s="795"/>
      <c r="E3472" s="795"/>
    </row>
    <row r="3473" spans="4:5" hidden="1">
      <c r="D3473" s="795"/>
      <c r="E3473" s="795"/>
    </row>
    <row r="3474" spans="4:5" hidden="1">
      <c r="D3474" s="795"/>
      <c r="E3474" s="795"/>
    </row>
    <row r="3475" spans="4:5" hidden="1">
      <c r="D3475" s="795"/>
      <c r="E3475" s="795"/>
    </row>
    <row r="3476" spans="4:5" hidden="1">
      <c r="D3476" s="795"/>
      <c r="E3476" s="795"/>
    </row>
    <row r="3477" spans="4:5" hidden="1">
      <c r="D3477" s="795"/>
      <c r="E3477" s="795"/>
    </row>
    <row r="3478" spans="4:5" hidden="1">
      <c r="D3478" s="795"/>
      <c r="E3478" s="795"/>
    </row>
    <row r="3479" spans="4:5" hidden="1">
      <c r="D3479" s="795"/>
      <c r="E3479" s="795"/>
    </row>
    <row r="3480" spans="4:5" hidden="1">
      <c r="D3480" s="795"/>
      <c r="E3480" s="795"/>
    </row>
    <row r="3481" spans="4:5" hidden="1">
      <c r="D3481" s="795"/>
      <c r="E3481" s="795"/>
    </row>
    <row r="3482" spans="4:5" hidden="1">
      <c r="D3482" s="795"/>
      <c r="E3482" s="795"/>
    </row>
    <row r="3483" spans="4:5" hidden="1">
      <c r="D3483" s="795"/>
      <c r="E3483" s="795"/>
    </row>
    <row r="3484" spans="4:5" hidden="1">
      <c r="D3484" s="795"/>
      <c r="E3484" s="795"/>
    </row>
    <row r="3485" spans="4:5" hidden="1">
      <c r="D3485" s="795"/>
      <c r="E3485" s="795"/>
    </row>
    <row r="3486" spans="4:5" hidden="1">
      <c r="D3486" s="795"/>
      <c r="E3486" s="795"/>
    </row>
    <row r="3487" spans="4:5" hidden="1">
      <c r="D3487" s="795"/>
      <c r="E3487" s="795"/>
    </row>
    <row r="3488" spans="4:5" hidden="1">
      <c r="D3488" s="795"/>
      <c r="E3488" s="795"/>
    </row>
    <row r="3489" spans="4:5" hidden="1">
      <c r="D3489" s="795"/>
      <c r="E3489" s="795"/>
    </row>
    <row r="3490" spans="4:5" hidden="1">
      <c r="D3490" s="795"/>
      <c r="E3490" s="795"/>
    </row>
    <row r="3491" spans="4:5" hidden="1">
      <c r="D3491" s="795"/>
      <c r="E3491" s="795"/>
    </row>
    <row r="3492" spans="4:5" hidden="1">
      <c r="D3492" s="795"/>
      <c r="E3492" s="795"/>
    </row>
    <row r="3493" spans="4:5" hidden="1">
      <c r="D3493" s="795"/>
      <c r="E3493" s="795"/>
    </row>
    <row r="3494" spans="4:5" hidden="1">
      <c r="D3494" s="795"/>
      <c r="E3494" s="795"/>
    </row>
    <row r="3495" spans="4:5" hidden="1">
      <c r="D3495" s="795"/>
      <c r="E3495" s="795"/>
    </row>
    <row r="3496" spans="4:5" hidden="1">
      <c r="D3496" s="795"/>
      <c r="E3496" s="795"/>
    </row>
    <row r="3497" spans="4:5" hidden="1">
      <c r="D3497" s="795"/>
      <c r="E3497" s="795"/>
    </row>
    <row r="3498" spans="4:5" hidden="1">
      <c r="D3498" s="795"/>
      <c r="E3498" s="795"/>
    </row>
    <row r="3499" spans="4:5" hidden="1">
      <c r="D3499" s="795"/>
      <c r="E3499" s="795"/>
    </row>
    <row r="3500" spans="4:5" hidden="1">
      <c r="D3500" s="795"/>
      <c r="E3500" s="795"/>
    </row>
    <row r="3501" spans="4:5" hidden="1">
      <c r="D3501" s="795"/>
      <c r="E3501" s="795"/>
    </row>
    <row r="3502" spans="4:5" hidden="1">
      <c r="D3502" s="795"/>
      <c r="E3502" s="795"/>
    </row>
    <row r="3503" spans="4:5" hidden="1">
      <c r="D3503" s="795"/>
      <c r="E3503" s="795"/>
    </row>
    <row r="3504" spans="4:5" hidden="1">
      <c r="D3504" s="795"/>
      <c r="E3504" s="795"/>
    </row>
    <row r="3505" spans="4:5" hidden="1">
      <c r="D3505" s="795"/>
      <c r="E3505" s="795"/>
    </row>
    <row r="3506" spans="4:5" hidden="1">
      <c r="D3506" s="795"/>
      <c r="E3506" s="795"/>
    </row>
    <row r="3507" spans="4:5" hidden="1">
      <c r="D3507" s="795"/>
      <c r="E3507" s="795"/>
    </row>
    <row r="3508" spans="4:5" hidden="1">
      <c r="D3508" s="795"/>
      <c r="E3508" s="795"/>
    </row>
    <row r="3509" spans="4:5" hidden="1">
      <c r="D3509" s="795"/>
      <c r="E3509" s="795"/>
    </row>
    <row r="3510" spans="4:5" hidden="1">
      <c r="D3510" s="795"/>
      <c r="E3510" s="795"/>
    </row>
    <row r="3511" spans="4:5" hidden="1">
      <c r="D3511" s="795"/>
      <c r="E3511" s="795"/>
    </row>
    <row r="3512" spans="4:5" hidden="1">
      <c r="D3512" s="795"/>
      <c r="E3512" s="795"/>
    </row>
    <row r="3513" spans="4:5" hidden="1">
      <c r="D3513" s="795"/>
      <c r="E3513" s="795"/>
    </row>
    <row r="3514" spans="4:5" hidden="1">
      <c r="D3514" s="795"/>
      <c r="E3514" s="795"/>
    </row>
    <row r="3515" spans="4:5" hidden="1">
      <c r="D3515" s="795"/>
      <c r="E3515" s="795"/>
    </row>
    <row r="3516" spans="4:5" hidden="1">
      <c r="D3516" s="795"/>
      <c r="E3516" s="795"/>
    </row>
    <row r="3517" spans="4:5" hidden="1">
      <c r="D3517" s="795"/>
      <c r="E3517" s="795"/>
    </row>
    <row r="3518" spans="4:5" hidden="1">
      <c r="D3518" s="795"/>
      <c r="E3518" s="795"/>
    </row>
    <row r="3519" spans="4:5" hidden="1">
      <c r="D3519" s="795"/>
      <c r="E3519" s="795"/>
    </row>
    <row r="3520" spans="4:5" hidden="1">
      <c r="D3520" s="795"/>
      <c r="E3520" s="795"/>
    </row>
    <row r="3521" spans="4:5" hidden="1">
      <c r="D3521" s="795"/>
      <c r="E3521" s="795"/>
    </row>
    <row r="3522" spans="4:5" hidden="1">
      <c r="D3522" s="795"/>
      <c r="E3522" s="795"/>
    </row>
    <row r="3523" spans="4:5" hidden="1">
      <c r="D3523" s="795"/>
      <c r="E3523" s="795"/>
    </row>
    <row r="3524" spans="4:5" hidden="1">
      <c r="D3524" s="795"/>
      <c r="E3524" s="795"/>
    </row>
    <row r="3525" spans="4:5" hidden="1">
      <c r="D3525" s="795"/>
      <c r="E3525" s="795"/>
    </row>
    <row r="3526" spans="4:5" hidden="1">
      <c r="D3526" s="795"/>
      <c r="E3526" s="795"/>
    </row>
    <row r="3527" spans="4:5" hidden="1">
      <c r="D3527" s="795"/>
      <c r="E3527" s="795"/>
    </row>
    <row r="3528" spans="4:5" hidden="1">
      <c r="D3528" s="795"/>
      <c r="E3528" s="795"/>
    </row>
    <row r="3529" spans="4:5" hidden="1">
      <c r="D3529" s="795"/>
      <c r="E3529" s="795"/>
    </row>
    <row r="3530" spans="4:5" hidden="1">
      <c r="D3530" s="795"/>
      <c r="E3530" s="795"/>
    </row>
    <row r="3531" spans="4:5" hidden="1">
      <c r="D3531" s="795"/>
      <c r="E3531" s="795"/>
    </row>
    <row r="3532" spans="4:5" hidden="1">
      <c r="D3532" s="795"/>
      <c r="E3532" s="795"/>
    </row>
    <row r="3533" spans="4:5" hidden="1">
      <c r="D3533" s="795"/>
      <c r="E3533" s="795"/>
    </row>
    <row r="3534" spans="4:5" hidden="1">
      <c r="D3534" s="795"/>
      <c r="E3534" s="795"/>
    </row>
    <row r="3535" spans="4:5" hidden="1">
      <c r="D3535" s="795"/>
      <c r="E3535" s="795"/>
    </row>
    <row r="3536" spans="4:5" hidden="1">
      <c r="D3536" s="795"/>
      <c r="E3536" s="795"/>
    </row>
    <row r="3537" spans="4:5" hidden="1">
      <c r="D3537" s="795"/>
      <c r="E3537" s="795"/>
    </row>
    <row r="3538" spans="4:5" hidden="1">
      <c r="D3538" s="795"/>
      <c r="E3538" s="795"/>
    </row>
    <row r="3539" spans="4:5" hidden="1">
      <c r="D3539" s="795"/>
      <c r="E3539" s="795"/>
    </row>
    <row r="3540" spans="4:5" hidden="1">
      <c r="D3540" s="795"/>
      <c r="E3540" s="795"/>
    </row>
    <row r="3541" spans="4:5" hidden="1">
      <c r="D3541" s="795"/>
      <c r="E3541" s="795"/>
    </row>
    <row r="3542" spans="4:5" hidden="1">
      <c r="D3542" s="795"/>
      <c r="E3542" s="795"/>
    </row>
    <row r="3543" spans="4:5" hidden="1">
      <c r="D3543" s="795"/>
      <c r="E3543" s="795"/>
    </row>
    <row r="3544" spans="4:5" hidden="1">
      <c r="D3544" s="795"/>
      <c r="E3544" s="795"/>
    </row>
    <row r="3545" spans="4:5" hidden="1">
      <c r="D3545" s="795"/>
      <c r="E3545" s="795"/>
    </row>
    <row r="3546" spans="4:5" hidden="1">
      <c r="D3546" s="795"/>
      <c r="E3546" s="795"/>
    </row>
    <row r="3547" spans="4:5" hidden="1">
      <c r="D3547" s="795"/>
      <c r="E3547" s="795"/>
    </row>
    <row r="3548" spans="4:5" hidden="1">
      <c r="D3548" s="795"/>
      <c r="E3548" s="795"/>
    </row>
    <row r="3549" spans="4:5" hidden="1">
      <c r="D3549" s="795"/>
      <c r="E3549" s="795"/>
    </row>
    <row r="3550" spans="4:5" hidden="1">
      <c r="D3550" s="795"/>
      <c r="E3550" s="795"/>
    </row>
    <row r="3551" spans="4:5" hidden="1">
      <c r="D3551" s="795"/>
      <c r="E3551" s="795"/>
    </row>
    <row r="3552" spans="4:5" hidden="1">
      <c r="D3552" s="795"/>
      <c r="E3552" s="795"/>
    </row>
    <row r="3553" spans="4:5" hidden="1">
      <c r="D3553" s="795"/>
      <c r="E3553" s="795"/>
    </row>
    <row r="3554" spans="4:5" hidden="1">
      <c r="D3554" s="795"/>
      <c r="E3554" s="795"/>
    </row>
    <row r="3555" spans="4:5" hidden="1">
      <c r="D3555" s="795"/>
      <c r="E3555" s="795"/>
    </row>
    <row r="3556" spans="4:5" hidden="1">
      <c r="D3556" s="795"/>
      <c r="E3556" s="795"/>
    </row>
    <row r="3557" spans="4:5" hidden="1">
      <c r="D3557" s="795"/>
      <c r="E3557" s="795"/>
    </row>
    <row r="3558" spans="4:5" hidden="1">
      <c r="D3558" s="795"/>
      <c r="E3558" s="795"/>
    </row>
    <row r="3559" spans="4:5" hidden="1">
      <c r="D3559" s="795"/>
      <c r="E3559" s="795"/>
    </row>
    <row r="3560" spans="4:5" hidden="1">
      <c r="D3560" s="795"/>
      <c r="E3560" s="795"/>
    </row>
    <row r="3561" spans="4:5" hidden="1">
      <c r="D3561" s="795"/>
      <c r="E3561" s="795"/>
    </row>
    <row r="3562" spans="4:5" hidden="1">
      <c r="D3562" s="795"/>
      <c r="E3562" s="795"/>
    </row>
    <row r="3563" spans="4:5" hidden="1">
      <c r="D3563" s="795"/>
      <c r="E3563" s="795"/>
    </row>
    <row r="3564" spans="4:5" hidden="1">
      <c r="D3564" s="795"/>
      <c r="E3564" s="795"/>
    </row>
    <row r="3565" spans="4:5" hidden="1">
      <c r="D3565" s="795"/>
      <c r="E3565" s="795"/>
    </row>
    <row r="3566" spans="4:5" hidden="1">
      <c r="D3566" s="795"/>
      <c r="E3566" s="795"/>
    </row>
    <row r="3567" spans="4:5" hidden="1">
      <c r="D3567" s="795"/>
      <c r="E3567" s="795"/>
    </row>
    <row r="3568" spans="4:5" hidden="1">
      <c r="D3568" s="795"/>
      <c r="E3568" s="795"/>
    </row>
    <row r="3569" spans="4:5" hidden="1">
      <c r="D3569" s="795"/>
      <c r="E3569" s="795"/>
    </row>
    <row r="3570" spans="4:5" hidden="1">
      <c r="D3570" s="795"/>
      <c r="E3570" s="795"/>
    </row>
    <row r="3571" spans="4:5" hidden="1">
      <c r="D3571" s="795"/>
      <c r="E3571" s="795"/>
    </row>
    <row r="3572" spans="4:5" hidden="1">
      <c r="D3572" s="795"/>
      <c r="E3572" s="795"/>
    </row>
    <row r="3573" spans="4:5" hidden="1">
      <c r="D3573" s="795"/>
      <c r="E3573" s="795"/>
    </row>
    <row r="3574" spans="4:5" hidden="1">
      <c r="D3574" s="795"/>
      <c r="E3574" s="795"/>
    </row>
    <row r="3575" spans="4:5" hidden="1">
      <c r="D3575" s="795"/>
      <c r="E3575" s="795"/>
    </row>
    <row r="3576" spans="4:5" hidden="1">
      <c r="D3576" s="795"/>
      <c r="E3576" s="795"/>
    </row>
    <row r="3577" spans="4:5" hidden="1">
      <c r="D3577" s="795"/>
      <c r="E3577" s="795"/>
    </row>
    <row r="3578" spans="4:5" hidden="1">
      <c r="D3578" s="795"/>
      <c r="E3578" s="795"/>
    </row>
    <row r="3579" spans="4:5" hidden="1">
      <c r="D3579" s="795"/>
      <c r="E3579" s="795"/>
    </row>
    <row r="3580" spans="4:5" hidden="1">
      <c r="D3580" s="795"/>
      <c r="E3580" s="795"/>
    </row>
    <row r="3581" spans="4:5" hidden="1">
      <c r="D3581" s="795"/>
      <c r="E3581" s="795"/>
    </row>
    <row r="3582" spans="4:5" hidden="1">
      <c r="D3582" s="795"/>
      <c r="E3582" s="795"/>
    </row>
    <row r="3583" spans="4:5" hidden="1">
      <c r="D3583" s="795"/>
      <c r="E3583" s="795"/>
    </row>
    <row r="3584" spans="4:5" hidden="1">
      <c r="D3584" s="795"/>
      <c r="E3584" s="795"/>
    </row>
    <row r="3585" spans="4:5" hidden="1">
      <c r="D3585" s="795"/>
      <c r="E3585" s="795"/>
    </row>
    <row r="3586" spans="4:5" hidden="1">
      <c r="D3586" s="795"/>
      <c r="E3586" s="795"/>
    </row>
    <row r="3587" spans="4:5" hidden="1">
      <c r="D3587" s="795"/>
      <c r="E3587" s="795"/>
    </row>
    <row r="3588" spans="4:5" hidden="1">
      <c r="D3588" s="795"/>
      <c r="E3588" s="795"/>
    </row>
    <row r="3589" spans="4:5" hidden="1">
      <c r="D3589" s="795"/>
      <c r="E3589" s="795"/>
    </row>
    <row r="3590" spans="4:5" hidden="1">
      <c r="D3590" s="795"/>
      <c r="E3590" s="795"/>
    </row>
    <row r="3591" spans="4:5" hidden="1">
      <c r="D3591" s="795"/>
      <c r="E3591" s="795"/>
    </row>
    <row r="3592" spans="4:5" hidden="1">
      <c r="D3592" s="795"/>
      <c r="E3592" s="795"/>
    </row>
    <row r="3593" spans="4:5" hidden="1">
      <c r="D3593" s="795"/>
      <c r="E3593" s="795"/>
    </row>
    <row r="3594" spans="4:5" hidden="1">
      <c r="D3594" s="795"/>
      <c r="E3594" s="795"/>
    </row>
    <row r="3595" spans="4:5" hidden="1">
      <c r="D3595" s="795"/>
      <c r="E3595" s="795"/>
    </row>
    <row r="3596" spans="4:5" hidden="1">
      <c r="D3596" s="795"/>
      <c r="E3596" s="795"/>
    </row>
    <row r="3597" spans="4:5" hidden="1">
      <c r="D3597" s="795"/>
      <c r="E3597" s="795"/>
    </row>
    <row r="3598" spans="4:5" hidden="1">
      <c r="D3598" s="795"/>
      <c r="E3598" s="795"/>
    </row>
    <row r="3599" spans="4:5" hidden="1">
      <c r="D3599" s="795"/>
      <c r="E3599" s="795"/>
    </row>
    <row r="3600" spans="4:5" hidden="1">
      <c r="D3600" s="795"/>
      <c r="E3600" s="795"/>
    </row>
    <row r="3601" spans="4:5" hidden="1">
      <c r="D3601" s="795"/>
      <c r="E3601" s="795"/>
    </row>
    <row r="3602" spans="4:5" hidden="1">
      <c r="D3602" s="795"/>
      <c r="E3602" s="795"/>
    </row>
    <row r="3603" spans="4:5" hidden="1">
      <c r="D3603" s="795"/>
      <c r="E3603" s="795"/>
    </row>
    <row r="3604" spans="4:5" hidden="1">
      <c r="D3604" s="795"/>
      <c r="E3604" s="795"/>
    </row>
    <row r="3605" spans="4:5" hidden="1">
      <c r="D3605" s="795"/>
      <c r="E3605" s="795"/>
    </row>
    <row r="3606" spans="4:5" hidden="1">
      <c r="D3606" s="795"/>
      <c r="E3606" s="795"/>
    </row>
    <row r="3607" spans="4:5" hidden="1">
      <c r="D3607" s="795"/>
      <c r="E3607" s="795"/>
    </row>
    <row r="3608" spans="4:5" hidden="1">
      <c r="D3608" s="795"/>
      <c r="E3608" s="795"/>
    </row>
    <row r="3609" spans="4:5" hidden="1">
      <c r="D3609" s="795"/>
      <c r="E3609" s="795"/>
    </row>
    <row r="3610" spans="4:5" hidden="1">
      <c r="D3610" s="795"/>
      <c r="E3610" s="795"/>
    </row>
    <row r="3611" spans="4:5" hidden="1">
      <c r="D3611" s="795"/>
      <c r="E3611" s="795"/>
    </row>
    <row r="3612" spans="4:5" hidden="1">
      <c r="D3612" s="795"/>
      <c r="E3612" s="795"/>
    </row>
    <row r="3613" spans="4:5" hidden="1">
      <c r="D3613" s="795"/>
      <c r="E3613" s="795"/>
    </row>
    <row r="3614" spans="4:5" hidden="1">
      <c r="D3614" s="795"/>
      <c r="E3614" s="795"/>
    </row>
    <row r="3615" spans="4:5" hidden="1">
      <c r="D3615" s="795"/>
      <c r="E3615" s="795"/>
    </row>
    <row r="3616" spans="4:5" hidden="1">
      <c r="D3616" s="795"/>
      <c r="E3616" s="795"/>
    </row>
    <row r="3617" spans="4:5" hidden="1">
      <c r="D3617" s="795"/>
      <c r="E3617" s="795"/>
    </row>
    <row r="3618" spans="4:5" hidden="1">
      <c r="D3618" s="795"/>
      <c r="E3618" s="795"/>
    </row>
    <row r="3619" spans="4:5" hidden="1">
      <c r="D3619" s="795"/>
      <c r="E3619" s="795"/>
    </row>
    <row r="3620" spans="4:5" hidden="1">
      <c r="D3620" s="795"/>
      <c r="E3620" s="795"/>
    </row>
    <row r="3621" spans="4:5" hidden="1">
      <c r="D3621" s="795"/>
      <c r="E3621" s="795"/>
    </row>
    <row r="3622" spans="4:5" hidden="1">
      <c r="D3622" s="795"/>
      <c r="E3622" s="795"/>
    </row>
    <row r="3623" spans="4:5" hidden="1">
      <c r="D3623" s="795"/>
      <c r="E3623" s="795"/>
    </row>
    <row r="3624" spans="4:5" hidden="1">
      <c r="D3624" s="795"/>
      <c r="E3624" s="795"/>
    </row>
    <row r="3625" spans="4:5" hidden="1">
      <c r="D3625" s="795"/>
      <c r="E3625" s="795"/>
    </row>
    <row r="3626" spans="4:5" hidden="1">
      <c r="D3626" s="795"/>
      <c r="E3626" s="795"/>
    </row>
    <row r="3627" spans="4:5" hidden="1">
      <c r="D3627" s="795"/>
      <c r="E3627" s="795"/>
    </row>
    <row r="3628" spans="4:5" hidden="1">
      <c r="D3628" s="795"/>
      <c r="E3628" s="795"/>
    </row>
    <row r="3629" spans="4:5" hidden="1">
      <c r="D3629" s="795"/>
      <c r="E3629" s="795"/>
    </row>
    <row r="3630" spans="4:5" hidden="1">
      <c r="D3630" s="795"/>
      <c r="E3630" s="795"/>
    </row>
    <row r="3631" spans="4:5" hidden="1">
      <c r="D3631" s="795"/>
      <c r="E3631" s="795"/>
    </row>
    <row r="3632" spans="4:5" hidden="1">
      <c r="D3632" s="795"/>
      <c r="E3632" s="795"/>
    </row>
    <row r="3633" spans="4:5" hidden="1">
      <c r="D3633" s="795"/>
      <c r="E3633" s="795"/>
    </row>
    <row r="3634" spans="4:5" hidden="1">
      <c r="D3634" s="795"/>
      <c r="E3634" s="795"/>
    </row>
    <row r="3635" spans="4:5" hidden="1">
      <c r="D3635" s="795"/>
      <c r="E3635" s="795"/>
    </row>
    <row r="3636" spans="4:5" hidden="1">
      <c r="D3636" s="795"/>
      <c r="E3636" s="795"/>
    </row>
    <row r="3637" spans="4:5" hidden="1">
      <c r="D3637" s="795"/>
      <c r="E3637" s="795"/>
    </row>
    <row r="3638" spans="4:5" hidden="1">
      <c r="D3638" s="795"/>
      <c r="E3638" s="795"/>
    </row>
    <row r="3639" spans="4:5" hidden="1">
      <c r="D3639" s="795"/>
      <c r="E3639" s="795"/>
    </row>
    <row r="3640" spans="4:5" hidden="1">
      <c r="D3640" s="795"/>
      <c r="E3640" s="795"/>
    </row>
    <row r="3641" spans="4:5" hidden="1">
      <c r="D3641" s="795"/>
      <c r="E3641" s="795"/>
    </row>
    <row r="3642" spans="4:5" hidden="1">
      <c r="D3642" s="795"/>
      <c r="E3642" s="795"/>
    </row>
    <row r="3643" spans="4:5" hidden="1">
      <c r="D3643" s="795"/>
      <c r="E3643" s="795"/>
    </row>
    <row r="3644" spans="4:5" hidden="1">
      <c r="D3644" s="795"/>
      <c r="E3644" s="795"/>
    </row>
    <row r="3645" spans="4:5" hidden="1">
      <c r="D3645" s="795"/>
      <c r="E3645" s="795"/>
    </row>
    <row r="3646" spans="4:5" hidden="1">
      <c r="D3646" s="795"/>
      <c r="E3646" s="795"/>
    </row>
    <row r="3647" spans="4:5" hidden="1">
      <c r="D3647" s="795"/>
      <c r="E3647" s="795"/>
    </row>
    <row r="3648" spans="4:5" hidden="1">
      <c r="D3648" s="795"/>
      <c r="E3648" s="795"/>
    </row>
    <row r="3649" spans="4:5" hidden="1">
      <c r="D3649" s="795"/>
      <c r="E3649" s="795"/>
    </row>
    <row r="3650" spans="4:5" hidden="1">
      <c r="D3650" s="795"/>
      <c r="E3650" s="795"/>
    </row>
    <row r="3651" spans="4:5" hidden="1">
      <c r="D3651" s="795"/>
      <c r="E3651" s="795"/>
    </row>
    <row r="3652" spans="4:5" hidden="1">
      <c r="D3652" s="795"/>
      <c r="E3652" s="795"/>
    </row>
    <row r="3653" spans="4:5" hidden="1">
      <c r="D3653" s="795"/>
      <c r="E3653" s="795"/>
    </row>
    <row r="3654" spans="4:5" hidden="1">
      <c r="D3654" s="795"/>
      <c r="E3654" s="795"/>
    </row>
    <row r="3655" spans="4:5" hidden="1">
      <c r="D3655" s="795"/>
      <c r="E3655" s="795"/>
    </row>
    <row r="3656" spans="4:5" hidden="1">
      <c r="D3656" s="795"/>
      <c r="E3656" s="795"/>
    </row>
    <row r="3657" spans="4:5" hidden="1">
      <c r="D3657" s="795"/>
      <c r="E3657" s="795"/>
    </row>
    <row r="3658" spans="4:5" hidden="1">
      <c r="D3658" s="795"/>
      <c r="E3658" s="795"/>
    </row>
    <row r="3659" spans="4:5" hidden="1">
      <c r="D3659" s="795"/>
      <c r="E3659" s="795"/>
    </row>
    <row r="3660" spans="4:5" hidden="1">
      <c r="D3660" s="795"/>
      <c r="E3660" s="795"/>
    </row>
    <row r="3661" spans="4:5" hidden="1">
      <c r="D3661" s="795"/>
      <c r="E3661" s="795"/>
    </row>
    <row r="3662" spans="4:5" hidden="1">
      <c r="D3662" s="795"/>
      <c r="E3662" s="795"/>
    </row>
    <row r="3663" spans="4:5" hidden="1">
      <c r="D3663" s="795"/>
      <c r="E3663" s="795"/>
    </row>
    <row r="3664" spans="4:5" hidden="1">
      <c r="D3664" s="795"/>
      <c r="E3664" s="795"/>
    </row>
    <row r="3665" spans="4:5" hidden="1">
      <c r="D3665" s="795"/>
      <c r="E3665" s="795"/>
    </row>
    <row r="3666" spans="4:5" hidden="1">
      <c r="D3666" s="795"/>
      <c r="E3666" s="795"/>
    </row>
    <row r="3667" spans="4:5" hidden="1">
      <c r="D3667" s="795"/>
      <c r="E3667" s="795"/>
    </row>
    <row r="3668" spans="4:5" hidden="1">
      <c r="D3668" s="795"/>
      <c r="E3668" s="795"/>
    </row>
    <row r="3669" spans="4:5" hidden="1">
      <c r="D3669" s="795"/>
      <c r="E3669" s="795"/>
    </row>
    <row r="3670" spans="4:5" hidden="1">
      <c r="D3670" s="795"/>
      <c r="E3670" s="795"/>
    </row>
    <row r="3671" spans="4:5" hidden="1">
      <c r="D3671" s="795"/>
      <c r="E3671" s="795"/>
    </row>
    <row r="3672" spans="4:5" hidden="1">
      <c r="D3672" s="795"/>
      <c r="E3672" s="795"/>
    </row>
    <row r="3673" spans="4:5" hidden="1">
      <c r="D3673" s="795"/>
      <c r="E3673" s="795"/>
    </row>
    <row r="3674" spans="4:5" hidden="1">
      <c r="D3674" s="795"/>
      <c r="E3674" s="795"/>
    </row>
    <row r="3675" spans="4:5" hidden="1">
      <c r="D3675" s="795"/>
      <c r="E3675" s="795"/>
    </row>
    <row r="3676" spans="4:5" hidden="1">
      <c r="D3676" s="795"/>
      <c r="E3676" s="795"/>
    </row>
    <row r="3677" spans="4:5" hidden="1">
      <c r="D3677" s="795"/>
      <c r="E3677" s="795"/>
    </row>
    <row r="3678" spans="4:5" hidden="1">
      <c r="D3678" s="795"/>
      <c r="E3678" s="795"/>
    </row>
    <row r="3679" spans="4:5" hidden="1">
      <c r="D3679" s="795"/>
      <c r="E3679" s="795"/>
    </row>
    <row r="3680" spans="4:5" hidden="1">
      <c r="D3680" s="795"/>
      <c r="E3680" s="795"/>
    </row>
    <row r="3681" spans="4:5" hidden="1">
      <c r="D3681" s="795"/>
      <c r="E3681" s="795"/>
    </row>
    <row r="3682" spans="4:5" hidden="1">
      <c r="D3682" s="795"/>
      <c r="E3682" s="795"/>
    </row>
    <row r="3683" spans="4:5" hidden="1">
      <c r="D3683" s="795"/>
      <c r="E3683" s="795"/>
    </row>
    <row r="3684" spans="4:5" hidden="1">
      <c r="D3684" s="795"/>
      <c r="E3684" s="795"/>
    </row>
    <row r="3685" spans="4:5" hidden="1">
      <c r="D3685" s="795"/>
      <c r="E3685" s="795"/>
    </row>
    <row r="3686" spans="4:5" hidden="1">
      <c r="D3686" s="795"/>
      <c r="E3686" s="795"/>
    </row>
    <row r="3687" spans="4:5" hidden="1">
      <c r="D3687" s="795"/>
      <c r="E3687" s="795"/>
    </row>
    <row r="3688" spans="4:5" hidden="1">
      <c r="D3688" s="795"/>
      <c r="E3688" s="795"/>
    </row>
    <row r="3689" spans="4:5" hidden="1">
      <c r="D3689" s="795"/>
      <c r="E3689" s="795"/>
    </row>
    <row r="3690" spans="4:5" hidden="1">
      <c r="D3690" s="795"/>
      <c r="E3690" s="795"/>
    </row>
    <row r="3691" spans="4:5" hidden="1">
      <c r="D3691" s="795"/>
      <c r="E3691" s="795"/>
    </row>
    <row r="3692" spans="4:5" hidden="1">
      <c r="D3692" s="795"/>
      <c r="E3692" s="795"/>
    </row>
    <row r="3693" spans="4:5" hidden="1">
      <c r="D3693" s="795"/>
      <c r="E3693" s="795"/>
    </row>
    <row r="3694" spans="4:5" hidden="1">
      <c r="D3694" s="795"/>
      <c r="E3694" s="795"/>
    </row>
    <row r="3695" spans="4:5" hidden="1">
      <c r="D3695" s="795"/>
      <c r="E3695" s="795"/>
    </row>
    <row r="3696" spans="4:5" hidden="1">
      <c r="D3696" s="795"/>
      <c r="E3696" s="795"/>
    </row>
    <row r="3697" spans="4:5" hidden="1">
      <c r="D3697" s="795"/>
      <c r="E3697" s="795"/>
    </row>
    <row r="3698" spans="4:5" hidden="1">
      <c r="D3698" s="795"/>
      <c r="E3698" s="795"/>
    </row>
    <row r="3699" spans="4:5" hidden="1">
      <c r="D3699" s="795"/>
      <c r="E3699" s="795"/>
    </row>
    <row r="3700" spans="4:5" hidden="1">
      <c r="D3700" s="795"/>
      <c r="E3700" s="795"/>
    </row>
    <row r="3701" spans="4:5" hidden="1">
      <c r="D3701" s="795"/>
      <c r="E3701" s="795"/>
    </row>
    <row r="3702" spans="4:5" hidden="1">
      <c r="D3702" s="795"/>
      <c r="E3702" s="795"/>
    </row>
    <row r="3703" spans="4:5" hidden="1">
      <c r="D3703" s="795"/>
      <c r="E3703" s="795"/>
    </row>
    <row r="3704" spans="4:5" hidden="1">
      <c r="D3704" s="795"/>
      <c r="E3704" s="795"/>
    </row>
    <row r="3705" spans="4:5" hidden="1">
      <c r="D3705" s="795"/>
      <c r="E3705" s="795"/>
    </row>
    <row r="3706" spans="4:5" hidden="1">
      <c r="D3706" s="795"/>
      <c r="E3706" s="795"/>
    </row>
    <row r="3707" spans="4:5" hidden="1">
      <c r="D3707" s="795"/>
      <c r="E3707" s="795"/>
    </row>
    <row r="3708" spans="4:5" hidden="1">
      <c r="D3708" s="795"/>
      <c r="E3708" s="795"/>
    </row>
    <row r="3709" spans="4:5" hidden="1">
      <c r="D3709" s="795"/>
      <c r="E3709" s="795"/>
    </row>
    <row r="3710" spans="4:5" hidden="1">
      <c r="D3710" s="795"/>
      <c r="E3710" s="795"/>
    </row>
    <row r="3711" spans="4:5" hidden="1">
      <c r="D3711" s="795"/>
      <c r="E3711" s="795"/>
    </row>
    <row r="3712" spans="4:5" hidden="1">
      <c r="D3712" s="795"/>
      <c r="E3712" s="795"/>
    </row>
    <row r="3713" spans="4:5" hidden="1">
      <c r="D3713" s="795"/>
      <c r="E3713" s="795"/>
    </row>
    <row r="3714" spans="4:5" hidden="1">
      <c r="D3714" s="795"/>
      <c r="E3714" s="795"/>
    </row>
    <row r="3715" spans="4:5" hidden="1">
      <c r="D3715" s="795"/>
      <c r="E3715" s="795"/>
    </row>
    <row r="3716" spans="4:5" hidden="1">
      <c r="D3716" s="795"/>
      <c r="E3716" s="795"/>
    </row>
    <row r="3717" spans="4:5" hidden="1">
      <c r="D3717" s="795"/>
      <c r="E3717" s="795"/>
    </row>
    <row r="3718" spans="4:5" hidden="1">
      <c r="D3718" s="795"/>
      <c r="E3718" s="795"/>
    </row>
    <row r="3719" spans="4:5" hidden="1">
      <c r="D3719" s="795"/>
      <c r="E3719" s="795"/>
    </row>
    <row r="3720" spans="4:5" hidden="1">
      <c r="D3720" s="795"/>
      <c r="E3720" s="795"/>
    </row>
    <row r="3721" spans="4:5" hidden="1">
      <c r="D3721" s="795"/>
      <c r="E3721" s="795"/>
    </row>
    <row r="3722" spans="4:5" hidden="1">
      <c r="D3722" s="795"/>
      <c r="E3722" s="795"/>
    </row>
    <row r="3723" spans="4:5" hidden="1">
      <c r="D3723" s="795"/>
      <c r="E3723" s="795"/>
    </row>
    <row r="3724" spans="4:5" hidden="1">
      <c r="D3724" s="795"/>
      <c r="E3724" s="795"/>
    </row>
    <row r="3725" spans="4:5" hidden="1">
      <c r="D3725" s="795"/>
      <c r="E3725" s="795"/>
    </row>
    <row r="3726" spans="4:5" hidden="1">
      <c r="D3726" s="795"/>
      <c r="E3726" s="795"/>
    </row>
    <row r="3727" spans="4:5" hidden="1">
      <c r="D3727" s="795"/>
      <c r="E3727" s="795"/>
    </row>
    <row r="3728" spans="4:5" hidden="1">
      <c r="D3728" s="795"/>
      <c r="E3728" s="795"/>
    </row>
    <row r="3729" spans="4:5" hidden="1">
      <c r="D3729" s="795"/>
      <c r="E3729" s="795"/>
    </row>
    <row r="3730" spans="4:5" hidden="1">
      <c r="D3730" s="795"/>
      <c r="E3730" s="795"/>
    </row>
    <row r="3731" spans="4:5" hidden="1">
      <c r="D3731" s="795"/>
      <c r="E3731" s="795"/>
    </row>
    <row r="3732" spans="4:5" hidden="1">
      <c r="D3732" s="795"/>
      <c r="E3732" s="795"/>
    </row>
    <row r="3733" spans="4:5" hidden="1">
      <c r="D3733" s="795"/>
      <c r="E3733" s="795"/>
    </row>
    <row r="3734" spans="4:5" hidden="1">
      <c r="D3734" s="795"/>
      <c r="E3734" s="795"/>
    </row>
    <row r="3735" spans="4:5" hidden="1">
      <c r="D3735" s="795"/>
      <c r="E3735" s="795"/>
    </row>
    <row r="3736" spans="4:5" hidden="1">
      <c r="D3736" s="795"/>
      <c r="E3736" s="795"/>
    </row>
    <row r="3737" spans="4:5" hidden="1">
      <c r="D3737" s="795"/>
      <c r="E3737" s="795"/>
    </row>
    <row r="3738" spans="4:5" hidden="1">
      <c r="D3738" s="795"/>
      <c r="E3738" s="795"/>
    </row>
    <row r="3739" spans="4:5" hidden="1">
      <c r="D3739" s="795"/>
      <c r="E3739" s="795"/>
    </row>
    <row r="3740" spans="4:5" hidden="1">
      <c r="D3740" s="795"/>
      <c r="E3740" s="795"/>
    </row>
    <row r="3741" spans="4:5" hidden="1">
      <c r="D3741" s="795"/>
      <c r="E3741" s="795"/>
    </row>
    <row r="3742" spans="4:5" hidden="1">
      <c r="D3742" s="795"/>
      <c r="E3742" s="795"/>
    </row>
    <row r="3743" spans="4:5" hidden="1">
      <c r="D3743" s="795"/>
      <c r="E3743" s="795"/>
    </row>
    <row r="3744" spans="4:5" hidden="1">
      <c r="D3744" s="795"/>
      <c r="E3744" s="795"/>
    </row>
    <row r="3745" spans="4:5" hidden="1">
      <c r="D3745" s="795"/>
      <c r="E3745" s="795"/>
    </row>
    <row r="3746" spans="4:5" hidden="1">
      <c r="D3746" s="795"/>
      <c r="E3746" s="795"/>
    </row>
    <row r="3747" spans="4:5" hidden="1">
      <c r="D3747" s="795"/>
      <c r="E3747" s="795"/>
    </row>
    <row r="3748" spans="4:5" hidden="1">
      <c r="D3748" s="795"/>
      <c r="E3748" s="795"/>
    </row>
    <row r="3749" spans="4:5" hidden="1">
      <c r="D3749" s="795"/>
      <c r="E3749" s="795"/>
    </row>
    <row r="3750" spans="4:5" hidden="1">
      <c r="D3750" s="795"/>
      <c r="E3750" s="795"/>
    </row>
    <row r="3751" spans="4:5" hidden="1">
      <c r="D3751" s="795"/>
      <c r="E3751" s="795"/>
    </row>
    <row r="3752" spans="4:5" hidden="1">
      <c r="D3752" s="795"/>
      <c r="E3752" s="795"/>
    </row>
    <row r="3753" spans="4:5" hidden="1">
      <c r="D3753" s="795"/>
      <c r="E3753" s="795"/>
    </row>
    <row r="3754" spans="4:5" hidden="1">
      <c r="D3754" s="795"/>
      <c r="E3754" s="795"/>
    </row>
    <row r="3755" spans="4:5" hidden="1">
      <c r="D3755" s="795"/>
      <c r="E3755" s="795"/>
    </row>
    <row r="3756" spans="4:5" hidden="1">
      <c r="D3756" s="795"/>
      <c r="E3756" s="795"/>
    </row>
    <row r="3757" spans="4:5" hidden="1">
      <c r="D3757" s="795"/>
      <c r="E3757" s="795"/>
    </row>
    <row r="3758" spans="4:5" hidden="1">
      <c r="D3758" s="795"/>
      <c r="E3758" s="795"/>
    </row>
    <row r="3759" spans="4:5" hidden="1">
      <c r="D3759" s="795"/>
      <c r="E3759" s="795"/>
    </row>
    <row r="3760" spans="4:5" hidden="1">
      <c r="D3760" s="795"/>
      <c r="E3760" s="795"/>
    </row>
    <row r="3761" spans="4:5" hidden="1">
      <c r="D3761" s="795"/>
      <c r="E3761" s="795"/>
    </row>
    <row r="3762" spans="4:5" hidden="1">
      <c r="D3762" s="795"/>
      <c r="E3762" s="795"/>
    </row>
    <row r="3763" spans="4:5" hidden="1">
      <c r="D3763" s="795"/>
      <c r="E3763" s="795"/>
    </row>
    <row r="3764" spans="4:5" hidden="1">
      <c r="D3764" s="795"/>
      <c r="E3764" s="795"/>
    </row>
    <row r="3765" spans="4:5" hidden="1">
      <c r="D3765" s="795"/>
      <c r="E3765" s="795"/>
    </row>
    <row r="3766" spans="4:5" hidden="1">
      <c r="D3766" s="795"/>
      <c r="E3766" s="795"/>
    </row>
    <row r="3767" spans="4:5" hidden="1">
      <c r="D3767" s="795"/>
      <c r="E3767" s="795"/>
    </row>
    <row r="3768" spans="4:5" hidden="1">
      <c r="D3768" s="795"/>
      <c r="E3768" s="795"/>
    </row>
    <row r="3769" spans="4:5" hidden="1">
      <c r="D3769" s="795"/>
      <c r="E3769" s="795"/>
    </row>
    <row r="3770" spans="4:5" hidden="1">
      <c r="D3770" s="795"/>
      <c r="E3770" s="795"/>
    </row>
    <row r="3771" spans="4:5" hidden="1">
      <c r="D3771" s="795"/>
      <c r="E3771" s="795"/>
    </row>
    <row r="3772" spans="4:5" hidden="1">
      <c r="D3772" s="795"/>
      <c r="E3772" s="795"/>
    </row>
    <row r="3773" spans="4:5" hidden="1">
      <c r="D3773" s="795"/>
      <c r="E3773" s="795"/>
    </row>
    <row r="3774" spans="4:5" hidden="1">
      <c r="D3774" s="795"/>
      <c r="E3774" s="795"/>
    </row>
    <row r="3775" spans="4:5" hidden="1">
      <c r="D3775" s="795"/>
      <c r="E3775" s="795"/>
    </row>
    <row r="3776" spans="4:5" hidden="1">
      <c r="D3776" s="795"/>
      <c r="E3776" s="795"/>
    </row>
    <row r="3777" spans="4:5" hidden="1">
      <c r="D3777" s="795"/>
      <c r="E3777" s="795"/>
    </row>
    <row r="3778" spans="4:5" hidden="1">
      <c r="D3778" s="795"/>
      <c r="E3778" s="795"/>
    </row>
    <row r="3779" spans="4:5" hidden="1">
      <c r="D3779" s="795"/>
      <c r="E3779" s="795"/>
    </row>
    <row r="3780" spans="4:5" hidden="1">
      <c r="D3780" s="795"/>
      <c r="E3780" s="795"/>
    </row>
    <row r="3781" spans="4:5" hidden="1">
      <c r="D3781" s="795"/>
      <c r="E3781" s="795"/>
    </row>
    <row r="3782" spans="4:5" hidden="1">
      <c r="D3782" s="795"/>
      <c r="E3782" s="795"/>
    </row>
    <row r="3783" spans="4:5" hidden="1">
      <c r="D3783" s="795"/>
      <c r="E3783" s="795"/>
    </row>
    <row r="3784" spans="4:5" hidden="1">
      <c r="D3784" s="795"/>
      <c r="E3784" s="795"/>
    </row>
    <row r="3785" spans="4:5" hidden="1">
      <c r="D3785" s="795"/>
      <c r="E3785" s="795"/>
    </row>
    <row r="3786" spans="4:5" hidden="1">
      <c r="D3786" s="795"/>
      <c r="E3786" s="795"/>
    </row>
    <row r="3787" spans="4:5" hidden="1">
      <c r="D3787" s="795"/>
      <c r="E3787" s="795"/>
    </row>
    <row r="3788" spans="4:5" hidden="1">
      <c r="D3788" s="795"/>
      <c r="E3788" s="795"/>
    </row>
    <row r="3789" spans="4:5" hidden="1">
      <c r="D3789" s="795"/>
      <c r="E3789" s="795"/>
    </row>
    <row r="3790" spans="4:5" hidden="1">
      <c r="D3790" s="795"/>
      <c r="E3790" s="795"/>
    </row>
    <row r="3791" spans="4:5" hidden="1">
      <c r="D3791" s="795"/>
      <c r="E3791" s="795"/>
    </row>
    <row r="3792" spans="4:5" hidden="1">
      <c r="D3792" s="795"/>
      <c r="E3792" s="795"/>
    </row>
    <row r="3793" spans="4:5" hidden="1">
      <c r="D3793" s="795"/>
      <c r="E3793" s="795"/>
    </row>
    <row r="3794" spans="4:5" hidden="1">
      <c r="D3794" s="795"/>
      <c r="E3794" s="795"/>
    </row>
    <row r="3795" spans="4:5" hidden="1">
      <c r="D3795" s="795"/>
      <c r="E3795" s="795"/>
    </row>
    <row r="3796" spans="4:5" hidden="1">
      <c r="D3796" s="795"/>
      <c r="E3796" s="795"/>
    </row>
    <row r="3797" spans="4:5" hidden="1">
      <c r="D3797" s="795"/>
      <c r="E3797" s="795"/>
    </row>
    <row r="3798" spans="4:5" hidden="1">
      <c r="D3798" s="795"/>
      <c r="E3798" s="795"/>
    </row>
    <row r="3799" spans="4:5" hidden="1">
      <c r="D3799" s="795"/>
      <c r="E3799" s="795"/>
    </row>
    <row r="3800" spans="4:5" hidden="1">
      <c r="D3800" s="795"/>
      <c r="E3800" s="795"/>
    </row>
    <row r="3801" spans="4:5" hidden="1">
      <c r="D3801" s="795"/>
      <c r="E3801" s="795"/>
    </row>
    <row r="3802" spans="4:5" hidden="1">
      <c r="D3802" s="795"/>
      <c r="E3802" s="795"/>
    </row>
    <row r="3803" spans="4:5" hidden="1">
      <c r="D3803" s="795"/>
      <c r="E3803" s="795"/>
    </row>
    <row r="3804" spans="4:5" hidden="1">
      <c r="D3804" s="795"/>
      <c r="E3804" s="795"/>
    </row>
    <row r="3805" spans="4:5" hidden="1">
      <c r="D3805" s="795"/>
      <c r="E3805" s="795"/>
    </row>
    <row r="3806" spans="4:5" hidden="1">
      <c r="D3806" s="795"/>
      <c r="E3806" s="795"/>
    </row>
    <row r="3807" spans="4:5" hidden="1">
      <c r="D3807" s="795"/>
      <c r="E3807" s="795"/>
    </row>
    <row r="3808" spans="4:5" hidden="1">
      <c r="D3808" s="795"/>
      <c r="E3808" s="795"/>
    </row>
    <row r="3809" spans="4:5" hidden="1">
      <c r="D3809" s="795"/>
      <c r="E3809" s="795"/>
    </row>
    <row r="3810" spans="4:5" hidden="1">
      <c r="D3810" s="795"/>
      <c r="E3810" s="795"/>
    </row>
    <row r="3811" spans="4:5" hidden="1">
      <c r="D3811" s="795"/>
      <c r="E3811" s="795"/>
    </row>
    <row r="3812" spans="4:5" hidden="1">
      <c r="D3812" s="795"/>
      <c r="E3812" s="795"/>
    </row>
    <row r="3813" spans="4:5" hidden="1">
      <c r="D3813" s="795"/>
      <c r="E3813" s="795"/>
    </row>
    <row r="3814" spans="4:5" hidden="1">
      <c r="D3814" s="795"/>
      <c r="E3814" s="795"/>
    </row>
    <row r="3815" spans="4:5" hidden="1">
      <c r="D3815" s="795"/>
      <c r="E3815" s="795"/>
    </row>
    <row r="3816" spans="4:5" hidden="1">
      <c r="D3816" s="795"/>
      <c r="E3816" s="795"/>
    </row>
    <row r="3817" spans="4:5" hidden="1">
      <c r="D3817" s="795"/>
      <c r="E3817" s="795"/>
    </row>
    <row r="3818" spans="4:5" hidden="1">
      <c r="D3818" s="795"/>
      <c r="E3818" s="795"/>
    </row>
    <row r="3819" spans="4:5" hidden="1">
      <c r="D3819" s="795"/>
      <c r="E3819" s="795"/>
    </row>
    <row r="3820" spans="4:5" hidden="1">
      <c r="D3820" s="795"/>
      <c r="E3820" s="795"/>
    </row>
    <row r="3821" spans="4:5" hidden="1">
      <c r="D3821" s="795"/>
      <c r="E3821" s="795"/>
    </row>
    <row r="3822" spans="4:5" hidden="1">
      <c r="D3822" s="795"/>
      <c r="E3822" s="795"/>
    </row>
    <row r="3823" spans="4:5" hidden="1">
      <c r="D3823" s="795"/>
      <c r="E3823" s="795"/>
    </row>
    <row r="3824" spans="4:5" hidden="1">
      <c r="D3824" s="795"/>
      <c r="E3824" s="795"/>
    </row>
    <row r="3825" spans="4:5" hidden="1">
      <c r="D3825" s="795"/>
      <c r="E3825" s="795"/>
    </row>
    <row r="3826" spans="4:5" hidden="1">
      <c r="D3826" s="795"/>
      <c r="E3826" s="795"/>
    </row>
    <row r="3827" spans="4:5" hidden="1">
      <c r="D3827" s="795"/>
      <c r="E3827" s="795"/>
    </row>
    <row r="3828" spans="4:5" hidden="1">
      <c r="D3828" s="795"/>
      <c r="E3828" s="795"/>
    </row>
    <row r="3829" spans="4:5" hidden="1">
      <c r="D3829" s="795"/>
      <c r="E3829" s="795"/>
    </row>
    <row r="3830" spans="4:5" hidden="1">
      <c r="D3830" s="795"/>
      <c r="E3830" s="795"/>
    </row>
    <row r="3831" spans="4:5" hidden="1">
      <c r="D3831" s="795"/>
      <c r="E3831" s="795"/>
    </row>
    <row r="3832" spans="4:5" hidden="1">
      <c r="D3832" s="795"/>
      <c r="E3832" s="795"/>
    </row>
    <row r="3833" spans="4:5" hidden="1">
      <c r="D3833" s="795"/>
      <c r="E3833" s="795"/>
    </row>
    <row r="3834" spans="4:5" hidden="1">
      <c r="D3834" s="795"/>
      <c r="E3834" s="795"/>
    </row>
    <row r="3835" spans="4:5" hidden="1">
      <c r="D3835" s="795"/>
      <c r="E3835" s="795"/>
    </row>
    <row r="3836" spans="4:5" hidden="1">
      <c r="D3836" s="795"/>
      <c r="E3836" s="795"/>
    </row>
    <row r="3837" spans="4:5" hidden="1">
      <c r="D3837" s="795"/>
      <c r="E3837" s="795"/>
    </row>
    <row r="3838" spans="4:5" hidden="1">
      <c r="D3838" s="795"/>
      <c r="E3838" s="795"/>
    </row>
    <row r="3839" spans="4:5" hidden="1">
      <c r="D3839" s="795"/>
      <c r="E3839" s="795"/>
    </row>
    <row r="3840" spans="4:5" hidden="1">
      <c r="D3840" s="795"/>
      <c r="E3840" s="795"/>
    </row>
    <row r="3841" spans="4:5" hidden="1">
      <c r="D3841" s="795"/>
      <c r="E3841" s="795"/>
    </row>
    <row r="3842" spans="4:5" hidden="1">
      <c r="D3842" s="795"/>
      <c r="E3842" s="795"/>
    </row>
    <row r="3843" spans="4:5" hidden="1">
      <c r="D3843" s="795"/>
      <c r="E3843" s="795"/>
    </row>
    <row r="3844" spans="4:5" hidden="1">
      <c r="D3844" s="795"/>
      <c r="E3844" s="795"/>
    </row>
    <row r="3845" spans="4:5" hidden="1">
      <c r="D3845" s="795"/>
      <c r="E3845" s="795"/>
    </row>
    <row r="3846" spans="4:5" hidden="1">
      <c r="D3846" s="795"/>
      <c r="E3846" s="795"/>
    </row>
    <row r="3847" spans="4:5" hidden="1">
      <c r="D3847" s="795"/>
      <c r="E3847" s="795"/>
    </row>
    <row r="3848" spans="4:5" hidden="1">
      <c r="D3848" s="795"/>
      <c r="E3848" s="795"/>
    </row>
    <row r="3849" spans="4:5" hidden="1">
      <c r="D3849" s="795"/>
      <c r="E3849" s="795"/>
    </row>
    <row r="3850" spans="4:5" hidden="1">
      <c r="D3850" s="795"/>
      <c r="E3850" s="795"/>
    </row>
    <row r="3851" spans="4:5" hidden="1">
      <c r="D3851" s="795"/>
      <c r="E3851" s="795"/>
    </row>
    <row r="3852" spans="4:5" hidden="1">
      <c r="D3852" s="795"/>
      <c r="E3852" s="795"/>
    </row>
    <row r="3853" spans="4:5" hidden="1">
      <c r="D3853" s="795"/>
      <c r="E3853" s="795"/>
    </row>
    <row r="3854" spans="4:5" hidden="1">
      <c r="D3854" s="795"/>
      <c r="E3854" s="795"/>
    </row>
    <row r="3855" spans="4:5" hidden="1">
      <c r="D3855" s="795"/>
      <c r="E3855" s="795"/>
    </row>
    <row r="3856" spans="4:5" hidden="1">
      <c r="D3856" s="795"/>
      <c r="E3856" s="795"/>
    </row>
    <row r="3857" spans="4:5" hidden="1">
      <c r="D3857" s="795"/>
      <c r="E3857" s="795"/>
    </row>
    <row r="3858" spans="4:5" hidden="1">
      <c r="D3858" s="795"/>
      <c r="E3858" s="795"/>
    </row>
    <row r="3859" spans="4:5" hidden="1">
      <c r="D3859" s="795"/>
      <c r="E3859" s="795"/>
    </row>
    <row r="3860" spans="4:5" hidden="1">
      <c r="D3860" s="795"/>
      <c r="E3860" s="795"/>
    </row>
    <row r="3861" spans="4:5" hidden="1">
      <c r="D3861" s="795"/>
      <c r="E3861" s="795"/>
    </row>
    <row r="3862" spans="4:5" hidden="1">
      <c r="D3862" s="795"/>
      <c r="E3862" s="795"/>
    </row>
    <row r="3863" spans="4:5" hidden="1">
      <c r="D3863" s="795"/>
      <c r="E3863" s="795"/>
    </row>
    <row r="3864" spans="4:5" hidden="1">
      <c r="D3864" s="795"/>
      <c r="E3864" s="795"/>
    </row>
    <row r="3865" spans="4:5" hidden="1">
      <c r="D3865" s="795"/>
      <c r="E3865" s="795"/>
    </row>
    <row r="3866" spans="4:5" hidden="1">
      <c r="D3866" s="795"/>
      <c r="E3866" s="795"/>
    </row>
    <row r="3867" spans="4:5" hidden="1">
      <c r="D3867" s="795"/>
      <c r="E3867" s="795"/>
    </row>
    <row r="3868" spans="4:5" hidden="1">
      <c r="D3868" s="795"/>
      <c r="E3868" s="795"/>
    </row>
    <row r="3869" spans="4:5" hidden="1">
      <c r="D3869" s="795"/>
      <c r="E3869" s="795"/>
    </row>
    <row r="3870" spans="4:5" hidden="1">
      <c r="D3870" s="795"/>
      <c r="E3870" s="795"/>
    </row>
    <row r="3871" spans="4:5" hidden="1">
      <c r="D3871" s="795"/>
      <c r="E3871" s="795"/>
    </row>
    <row r="3872" spans="4:5" hidden="1">
      <c r="D3872" s="795"/>
      <c r="E3872" s="795"/>
    </row>
    <row r="3873" spans="4:5" hidden="1">
      <c r="D3873" s="795"/>
      <c r="E3873" s="795"/>
    </row>
    <row r="3874" spans="4:5" hidden="1">
      <c r="D3874" s="795"/>
      <c r="E3874" s="795"/>
    </row>
    <row r="3875" spans="4:5" hidden="1">
      <c r="D3875" s="795"/>
      <c r="E3875" s="795"/>
    </row>
    <row r="3876" spans="4:5" hidden="1">
      <c r="D3876" s="795"/>
      <c r="E3876" s="795"/>
    </row>
    <row r="3877" spans="4:5" hidden="1">
      <c r="D3877" s="795"/>
      <c r="E3877" s="795"/>
    </row>
    <row r="3878" spans="4:5" hidden="1">
      <c r="D3878" s="795"/>
      <c r="E3878" s="795"/>
    </row>
    <row r="3879" spans="4:5" hidden="1">
      <c r="D3879" s="795"/>
      <c r="E3879" s="795"/>
    </row>
    <row r="3880" spans="4:5" hidden="1">
      <c r="D3880" s="795"/>
      <c r="E3880" s="795"/>
    </row>
    <row r="3881" spans="4:5" hidden="1">
      <c r="D3881" s="795"/>
      <c r="E3881" s="795"/>
    </row>
    <row r="3882" spans="4:5" hidden="1">
      <c r="D3882" s="795"/>
      <c r="E3882" s="795"/>
    </row>
    <row r="3883" spans="4:5" hidden="1">
      <c r="D3883" s="795"/>
      <c r="E3883" s="795"/>
    </row>
    <row r="3884" spans="4:5" hidden="1">
      <c r="D3884" s="795"/>
      <c r="E3884" s="795"/>
    </row>
    <row r="3885" spans="4:5" hidden="1">
      <c r="D3885" s="795"/>
      <c r="E3885" s="795"/>
    </row>
    <row r="3886" spans="4:5" hidden="1">
      <c r="D3886" s="795"/>
      <c r="E3886" s="795"/>
    </row>
    <row r="3887" spans="4:5" hidden="1">
      <c r="D3887" s="795"/>
      <c r="E3887" s="795"/>
    </row>
    <row r="3888" spans="4:5" hidden="1">
      <c r="D3888" s="795"/>
      <c r="E3888" s="795"/>
    </row>
    <row r="3889" spans="4:5" hidden="1">
      <c r="D3889" s="795"/>
      <c r="E3889" s="795"/>
    </row>
    <row r="3890" spans="4:5" hidden="1">
      <c r="D3890" s="795"/>
      <c r="E3890" s="795"/>
    </row>
    <row r="3891" spans="4:5" hidden="1">
      <c r="D3891" s="795"/>
      <c r="E3891" s="795"/>
    </row>
    <row r="3892" spans="4:5" hidden="1">
      <c r="D3892" s="795"/>
      <c r="E3892" s="795"/>
    </row>
    <row r="3893" spans="4:5" hidden="1">
      <c r="D3893" s="795"/>
      <c r="E3893" s="795"/>
    </row>
    <row r="3894" spans="4:5" hidden="1">
      <c r="D3894" s="795"/>
      <c r="E3894" s="795"/>
    </row>
    <row r="3895" spans="4:5" hidden="1">
      <c r="D3895" s="795"/>
      <c r="E3895" s="795"/>
    </row>
    <row r="3896" spans="4:5" hidden="1">
      <c r="D3896" s="795"/>
      <c r="E3896" s="795"/>
    </row>
    <row r="3897" spans="4:5" hidden="1">
      <c r="D3897" s="795"/>
      <c r="E3897" s="795"/>
    </row>
    <row r="3898" spans="4:5" hidden="1">
      <c r="D3898" s="795"/>
      <c r="E3898" s="795"/>
    </row>
    <row r="3899" spans="4:5" hidden="1">
      <c r="D3899" s="795"/>
      <c r="E3899" s="795"/>
    </row>
    <row r="3900" spans="4:5" hidden="1">
      <c r="D3900" s="795"/>
      <c r="E3900" s="795"/>
    </row>
    <row r="3901" spans="4:5" hidden="1">
      <c r="D3901" s="795"/>
      <c r="E3901" s="795"/>
    </row>
    <row r="3902" spans="4:5" hidden="1">
      <c r="D3902" s="795"/>
      <c r="E3902" s="795"/>
    </row>
    <row r="3903" spans="4:5" hidden="1">
      <c r="D3903" s="795"/>
      <c r="E3903" s="795"/>
    </row>
    <row r="3904" spans="4:5" hidden="1">
      <c r="D3904" s="795"/>
      <c r="E3904" s="795"/>
    </row>
    <row r="3905" spans="4:5" hidden="1">
      <c r="D3905" s="795"/>
      <c r="E3905" s="795"/>
    </row>
    <row r="3906" spans="4:5" hidden="1">
      <c r="D3906" s="795"/>
      <c r="E3906" s="795"/>
    </row>
    <row r="3907" spans="4:5" hidden="1">
      <c r="D3907" s="795"/>
      <c r="E3907" s="795"/>
    </row>
    <row r="3908" spans="4:5" hidden="1">
      <c r="D3908" s="795"/>
      <c r="E3908" s="795"/>
    </row>
    <row r="3909" spans="4:5" hidden="1">
      <c r="D3909" s="795"/>
      <c r="E3909" s="795"/>
    </row>
    <row r="3910" spans="4:5" hidden="1">
      <c r="D3910" s="795"/>
      <c r="E3910" s="795"/>
    </row>
    <row r="3911" spans="4:5" hidden="1">
      <c r="D3911" s="795"/>
      <c r="E3911" s="795"/>
    </row>
    <row r="3912" spans="4:5" hidden="1">
      <c r="D3912" s="795"/>
      <c r="E3912" s="795"/>
    </row>
    <row r="3913" spans="4:5" hidden="1">
      <c r="D3913" s="795"/>
      <c r="E3913" s="795"/>
    </row>
    <row r="3914" spans="4:5" hidden="1">
      <c r="D3914" s="795"/>
      <c r="E3914" s="795"/>
    </row>
    <row r="3915" spans="4:5" hidden="1">
      <c r="D3915" s="795"/>
      <c r="E3915" s="795"/>
    </row>
    <row r="3916" spans="4:5" hidden="1">
      <c r="D3916" s="795"/>
      <c r="E3916" s="795"/>
    </row>
    <row r="3917" spans="4:5" hidden="1">
      <c r="D3917" s="795"/>
      <c r="E3917" s="795"/>
    </row>
    <row r="3918" spans="4:5" hidden="1">
      <c r="D3918" s="795"/>
      <c r="E3918" s="795"/>
    </row>
    <row r="3919" spans="4:5" hidden="1">
      <c r="D3919" s="795"/>
      <c r="E3919" s="795"/>
    </row>
    <row r="3920" spans="4:5" hidden="1">
      <c r="D3920" s="795"/>
      <c r="E3920" s="795"/>
    </row>
    <row r="3921" spans="4:5" hidden="1">
      <c r="D3921" s="795"/>
      <c r="E3921" s="795"/>
    </row>
    <row r="3922" spans="4:5" hidden="1">
      <c r="D3922" s="795"/>
      <c r="E3922" s="795"/>
    </row>
    <row r="3923" spans="4:5" hidden="1">
      <c r="D3923" s="795"/>
      <c r="E3923" s="795"/>
    </row>
    <row r="3924" spans="4:5" hidden="1">
      <c r="D3924" s="795"/>
      <c r="E3924" s="795"/>
    </row>
    <row r="3925" spans="4:5" hidden="1">
      <c r="D3925" s="795"/>
      <c r="E3925" s="795"/>
    </row>
    <row r="3926" spans="4:5" hidden="1">
      <c r="D3926" s="795"/>
      <c r="E3926" s="795"/>
    </row>
    <row r="3927" spans="4:5" hidden="1">
      <c r="D3927" s="795"/>
      <c r="E3927" s="795"/>
    </row>
    <row r="3928" spans="4:5" hidden="1">
      <c r="D3928" s="795"/>
      <c r="E3928" s="795"/>
    </row>
    <row r="3929" spans="4:5" hidden="1">
      <c r="D3929" s="795"/>
      <c r="E3929" s="795"/>
    </row>
    <row r="3930" spans="4:5" hidden="1">
      <c r="D3930" s="795"/>
      <c r="E3930" s="795"/>
    </row>
    <row r="3931" spans="4:5" hidden="1">
      <c r="D3931" s="795"/>
      <c r="E3931" s="795"/>
    </row>
    <row r="3932" spans="4:5" hidden="1">
      <c r="D3932" s="795"/>
      <c r="E3932" s="795"/>
    </row>
    <row r="3933" spans="4:5" hidden="1">
      <c r="D3933" s="795"/>
      <c r="E3933" s="795"/>
    </row>
    <row r="3934" spans="4:5" hidden="1">
      <c r="D3934" s="795"/>
      <c r="E3934" s="795"/>
    </row>
    <row r="3935" spans="4:5" hidden="1">
      <c r="D3935" s="795"/>
      <c r="E3935" s="795"/>
    </row>
    <row r="3936" spans="4:5" hidden="1">
      <c r="D3936" s="795"/>
      <c r="E3936" s="795"/>
    </row>
    <row r="3937" spans="4:5" hidden="1">
      <c r="D3937" s="795"/>
      <c r="E3937" s="795"/>
    </row>
    <row r="3938" spans="4:5" hidden="1">
      <c r="D3938" s="795"/>
      <c r="E3938" s="795"/>
    </row>
    <row r="3939" spans="4:5" hidden="1">
      <c r="D3939" s="795"/>
      <c r="E3939" s="795"/>
    </row>
    <row r="3940" spans="4:5" hidden="1">
      <c r="D3940" s="795"/>
      <c r="E3940" s="795"/>
    </row>
    <row r="3941" spans="4:5" hidden="1">
      <c r="D3941" s="795"/>
      <c r="E3941" s="795"/>
    </row>
    <row r="3942" spans="4:5" hidden="1">
      <c r="D3942" s="795"/>
      <c r="E3942" s="795"/>
    </row>
    <row r="3943" spans="4:5" hidden="1">
      <c r="D3943" s="795"/>
      <c r="E3943" s="795"/>
    </row>
    <row r="3944" spans="4:5" hidden="1">
      <c r="D3944" s="795"/>
      <c r="E3944" s="795"/>
    </row>
    <row r="3945" spans="4:5" hidden="1">
      <c r="D3945" s="795"/>
      <c r="E3945" s="795"/>
    </row>
    <row r="3946" spans="4:5" hidden="1">
      <c r="D3946" s="795"/>
      <c r="E3946" s="795"/>
    </row>
    <row r="3947" spans="4:5" hidden="1">
      <c r="D3947" s="795"/>
      <c r="E3947" s="795"/>
    </row>
    <row r="3948" spans="4:5" hidden="1">
      <c r="D3948" s="795"/>
      <c r="E3948" s="795"/>
    </row>
    <row r="3949" spans="4:5" hidden="1">
      <c r="D3949" s="795"/>
      <c r="E3949" s="795"/>
    </row>
    <row r="3950" spans="4:5" hidden="1">
      <c r="D3950" s="795"/>
      <c r="E3950" s="795"/>
    </row>
    <row r="3951" spans="4:5" hidden="1">
      <c r="D3951" s="795"/>
      <c r="E3951" s="795"/>
    </row>
    <row r="3952" spans="4:5" hidden="1">
      <c r="D3952" s="795"/>
      <c r="E3952" s="795"/>
    </row>
    <row r="3953" spans="4:5" hidden="1">
      <c r="D3953" s="795"/>
      <c r="E3953" s="795"/>
    </row>
    <row r="3954" spans="4:5" hidden="1">
      <c r="D3954" s="795"/>
      <c r="E3954" s="795"/>
    </row>
    <row r="3955" spans="4:5" hidden="1">
      <c r="D3955" s="795"/>
      <c r="E3955" s="795"/>
    </row>
    <row r="3956" spans="4:5" hidden="1">
      <c r="D3956" s="795"/>
      <c r="E3956" s="795"/>
    </row>
    <row r="3957" spans="4:5" hidden="1">
      <c r="D3957" s="795"/>
      <c r="E3957" s="795"/>
    </row>
    <row r="3958" spans="4:5" hidden="1">
      <c r="D3958" s="795"/>
      <c r="E3958" s="795"/>
    </row>
    <row r="3959" spans="4:5" hidden="1">
      <c r="D3959" s="795"/>
      <c r="E3959" s="795"/>
    </row>
    <row r="3960" spans="4:5" hidden="1">
      <c r="D3960" s="795"/>
      <c r="E3960" s="795"/>
    </row>
    <row r="3961" spans="4:5" hidden="1">
      <c r="D3961" s="795"/>
      <c r="E3961" s="795"/>
    </row>
    <row r="3962" spans="4:5" hidden="1">
      <c r="D3962" s="795"/>
      <c r="E3962" s="795"/>
    </row>
    <row r="3963" spans="4:5" hidden="1">
      <c r="D3963" s="795"/>
      <c r="E3963" s="795"/>
    </row>
    <row r="3964" spans="4:5" hidden="1">
      <c r="D3964" s="795"/>
      <c r="E3964" s="795"/>
    </row>
    <row r="3965" spans="4:5" hidden="1">
      <c r="D3965" s="795"/>
      <c r="E3965" s="795"/>
    </row>
    <row r="3966" spans="4:5" hidden="1">
      <c r="D3966" s="795"/>
      <c r="E3966" s="795"/>
    </row>
    <row r="3967" spans="4:5" hidden="1">
      <c r="D3967" s="795"/>
      <c r="E3967" s="795"/>
    </row>
    <row r="3968" spans="4:5" hidden="1">
      <c r="D3968" s="795"/>
      <c r="E3968" s="795"/>
    </row>
    <row r="3969" spans="4:5" hidden="1">
      <c r="D3969" s="795"/>
      <c r="E3969" s="795"/>
    </row>
    <row r="3970" spans="4:5" hidden="1">
      <c r="D3970" s="795"/>
      <c r="E3970" s="795"/>
    </row>
    <row r="3971" spans="4:5" hidden="1">
      <c r="D3971" s="795"/>
      <c r="E3971" s="795"/>
    </row>
    <row r="3972" spans="4:5" hidden="1">
      <c r="D3972" s="795"/>
      <c r="E3972" s="795"/>
    </row>
    <row r="3973" spans="4:5" hidden="1">
      <c r="D3973" s="795"/>
      <c r="E3973" s="795"/>
    </row>
    <row r="3974" spans="4:5" hidden="1">
      <c r="D3974" s="795"/>
      <c r="E3974" s="795"/>
    </row>
    <row r="3975" spans="4:5" hidden="1">
      <c r="D3975" s="795"/>
      <c r="E3975" s="795"/>
    </row>
    <row r="3976" spans="4:5" hidden="1">
      <c r="D3976" s="795"/>
      <c r="E3976" s="795"/>
    </row>
    <row r="3977" spans="4:5" hidden="1">
      <c r="D3977" s="795"/>
      <c r="E3977" s="795"/>
    </row>
    <row r="3978" spans="4:5" hidden="1">
      <c r="D3978" s="795"/>
      <c r="E3978" s="795"/>
    </row>
    <row r="3979" spans="4:5" hidden="1">
      <c r="D3979" s="795"/>
      <c r="E3979" s="795"/>
    </row>
    <row r="3980" spans="4:5" hidden="1">
      <c r="D3980" s="795"/>
      <c r="E3980" s="795"/>
    </row>
    <row r="3981" spans="4:5" hidden="1">
      <c r="D3981" s="795"/>
      <c r="E3981" s="795"/>
    </row>
    <row r="3982" spans="4:5" hidden="1">
      <c r="D3982" s="795"/>
      <c r="E3982" s="795"/>
    </row>
    <row r="3983" spans="4:5" hidden="1">
      <c r="D3983" s="795"/>
      <c r="E3983" s="795"/>
    </row>
    <row r="3984" spans="4:5" hidden="1">
      <c r="D3984" s="795"/>
      <c r="E3984" s="795"/>
    </row>
    <row r="3985" spans="4:5" hidden="1">
      <c r="D3985" s="795"/>
      <c r="E3985" s="795"/>
    </row>
    <row r="3986" spans="4:5" hidden="1">
      <c r="D3986" s="795"/>
      <c r="E3986" s="795"/>
    </row>
    <row r="3987" spans="4:5" hidden="1">
      <c r="D3987" s="795"/>
      <c r="E3987" s="795"/>
    </row>
    <row r="3988" spans="4:5" hidden="1">
      <c r="D3988" s="795"/>
      <c r="E3988" s="795"/>
    </row>
    <row r="3989" spans="4:5" hidden="1">
      <c r="D3989" s="795"/>
      <c r="E3989" s="795"/>
    </row>
    <row r="3990" spans="4:5" hidden="1">
      <c r="D3990" s="795"/>
      <c r="E3990" s="795"/>
    </row>
    <row r="3991" spans="4:5" hidden="1">
      <c r="D3991" s="795"/>
      <c r="E3991" s="795"/>
    </row>
    <row r="3992" spans="4:5" hidden="1">
      <c r="D3992" s="795"/>
      <c r="E3992" s="795"/>
    </row>
    <row r="3993" spans="4:5" hidden="1">
      <c r="D3993" s="795"/>
      <c r="E3993" s="795"/>
    </row>
    <row r="3994" spans="4:5" hidden="1">
      <c r="D3994" s="795"/>
      <c r="E3994" s="795"/>
    </row>
    <row r="3995" spans="4:5" hidden="1">
      <c r="D3995" s="795"/>
      <c r="E3995" s="795"/>
    </row>
    <row r="3996" spans="4:5" hidden="1">
      <c r="D3996" s="795"/>
      <c r="E3996" s="795"/>
    </row>
    <row r="3997" spans="4:5" hidden="1">
      <c r="D3997" s="795"/>
      <c r="E3997" s="795"/>
    </row>
    <row r="3998" spans="4:5" hidden="1">
      <c r="D3998" s="795"/>
      <c r="E3998" s="795"/>
    </row>
    <row r="3999" spans="4:5" hidden="1">
      <c r="D3999" s="795"/>
      <c r="E3999" s="795"/>
    </row>
    <row r="4000" spans="4:5" hidden="1">
      <c r="D4000" s="795"/>
      <c r="E4000" s="795"/>
    </row>
    <row r="4001" spans="4:5" hidden="1">
      <c r="D4001" s="795"/>
      <c r="E4001" s="795"/>
    </row>
    <row r="4002" spans="4:5" hidden="1">
      <c r="D4002" s="795"/>
      <c r="E4002" s="795"/>
    </row>
    <row r="4003" spans="4:5" hidden="1">
      <c r="D4003" s="795"/>
      <c r="E4003" s="795"/>
    </row>
    <row r="4004" spans="4:5" hidden="1">
      <c r="D4004" s="795"/>
      <c r="E4004" s="795"/>
    </row>
    <row r="4005" spans="4:5" hidden="1">
      <c r="D4005" s="795"/>
      <c r="E4005" s="795"/>
    </row>
    <row r="4006" spans="4:5" hidden="1">
      <c r="D4006" s="795"/>
      <c r="E4006" s="795"/>
    </row>
    <row r="4007" spans="4:5" hidden="1">
      <c r="D4007" s="795"/>
      <c r="E4007" s="795"/>
    </row>
    <row r="4008" spans="4:5" hidden="1">
      <c r="D4008" s="795"/>
      <c r="E4008" s="795"/>
    </row>
    <row r="4009" spans="4:5" hidden="1">
      <c r="D4009" s="795"/>
      <c r="E4009" s="795"/>
    </row>
    <row r="4010" spans="4:5" hidden="1">
      <c r="D4010" s="795"/>
      <c r="E4010" s="795"/>
    </row>
    <row r="4011" spans="4:5" hidden="1">
      <c r="D4011" s="795"/>
      <c r="E4011" s="795"/>
    </row>
    <row r="4012" spans="4:5" hidden="1">
      <c r="D4012" s="795"/>
      <c r="E4012" s="795"/>
    </row>
    <row r="4013" spans="4:5" hidden="1">
      <c r="D4013" s="795"/>
      <c r="E4013" s="795"/>
    </row>
    <row r="4014" spans="4:5" hidden="1">
      <c r="D4014" s="795"/>
      <c r="E4014" s="795"/>
    </row>
    <row r="4015" spans="4:5" hidden="1">
      <c r="D4015" s="795"/>
      <c r="E4015" s="795"/>
    </row>
    <row r="4016" spans="4:5" hidden="1">
      <c r="D4016" s="795"/>
      <c r="E4016" s="795"/>
    </row>
    <row r="4017" spans="4:5" hidden="1">
      <c r="D4017" s="795"/>
      <c r="E4017" s="795"/>
    </row>
    <row r="4018" spans="4:5" hidden="1">
      <c r="D4018" s="795"/>
      <c r="E4018" s="795"/>
    </row>
    <row r="4019" spans="4:5" hidden="1">
      <c r="D4019" s="795"/>
      <c r="E4019" s="795"/>
    </row>
    <row r="4020" spans="4:5" hidden="1">
      <c r="D4020" s="795"/>
      <c r="E4020" s="795"/>
    </row>
    <row r="4021" spans="4:5" hidden="1">
      <c r="D4021" s="795"/>
      <c r="E4021" s="795"/>
    </row>
    <row r="4022" spans="4:5" hidden="1">
      <c r="D4022" s="795"/>
      <c r="E4022" s="795"/>
    </row>
    <row r="4023" spans="4:5" hidden="1">
      <c r="D4023" s="795"/>
      <c r="E4023" s="795"/>
    </row>
    <row r="4024" spans="4:5" hidden="1">
      <c r="D4024" s="795"/>
      <c r="E4024" s="795"/>
    </row>
    <row r="4025" spans="4:5" hidden="1">
      <c r="D4025" s="795"/>
      <c r="E4025" s="795"/>
    </row>
    <row r="4026" spans="4:5" hidden="1">
      <c r="D4026" s="795"/>
      <c r="E4026" s="795"/>
    </row>
    <row r="4027" spans="4:5" hidden="1">
      <c r="D4027" s="795"/>
      <c r="E4027" s="795"/>
    </row>
    <row r="4028" spans="4:5" hidden="1">
      <c r="D4028" s="795"/>
      <c r="E4028" s="795"/>
    </row>
    <row r="4029" spans="4:5" hidden="1">
      <c r="D4029" s="795"/>
      <c r="E4029" s="795"/>
    </row>
    <row r="4030" spans="4:5" hidden="1">
      <c r="D4030" s="795"/>
      <c r="E4030" s="795"/>
    </row>
    <row r="4031" spans="4:5" hidden="1">
      <c r="D4031" s="795"/>
      <c r="E4031" s="795"/>
    </row>
    <row r="4032" spans="4:5" hidden="1">
      <c r="D4032" s="795"/>
      <c r="E4032" s="795"/>
    </row>
    <row r="4033" spans="4:5" hidden="1">
      <c r="D4033" s="795"/>
      <c r="E4033" s="795"/>
    </row>
    <row r="4034" spans="4:5" hidden="1">
      <c r="D4034" s="795"/>
      <c r="E4034" s="795"/>
    </row>
    <row r="4035" spans="4:5" hidden="1">
      <c r="D4035" s="795"/>
      <c r="E4035" s="795"/>
    </row>
    <row r="4036" spans="4:5" hidden="1">
      <c r="D4036" s="795"/>
      <c r="E4036" s="795"/>
    </row>
    <row r="4037" spans="4:5" hidden="1">
      <c r="D4037" s="795"/>
      <c r="E4037" s="795"/>
    </row>
    <row r="4038" spans="4:5" hidden="1">
      <c r="D4038" s="795"/>
      <c r="E4038" s="795"/>
    </row>
    <row r="4039" spans="4:5" hidden="1">
      <c r="D4039" s="795"/>
      <c r="E4039" s="795"/>
    </row>
    <row r="4040" spans="4:5" hidden="1">
      <c r="D4040" s="795"/>
      <c r="E4040" s="795"/>
    </row>
    <row r="4041" spans="4:5" hidden="1">
      <c r="D4041" s="795"/>
      <c r="E4041" s="795"/>
    </row>
    <row r="4042" spans="4:5" hidden="1">
      <c r="D4042" s="795"/>
      <c r="E4042" s="795"/>
    </row>
    <row r="4043" spans="4:5" hidden="1">
      <c r="D4043" s="795"/>
      <c r="E4043" s="795"/>
    </row>
    <row r="4044" spans="4:5" hidden="1">
      <c r="D4044" s="795"/>
      <c r="E4044" s="795"/>
    </row>
    <row r="4045" spans="4:5" hidden="1">
      <c r="D4045" s="795"/>
      <c r="E4045" s="795"/>
    </row>
    <row r="4046" spans="4:5" hidden="1">
      <c r="D4046" s="795"/>
      <c r="E4046" s="795"/>
    </row>
    <row r="4047" spans="4:5" hidden="1">
      <c r="D4047" s="795"/>
      <c r="E4047" s="795"/>
    </row>
    <row r="4048" spans="4:5" hidden="1">
      <c r="D4048" s="795"/>
      <c r="E4048" s="795"/>
    </row>
    <row r="4049" spans="4:5" hidden="1">
      <c r="D4049" s="795"/>
      <c r="E4049" s="795"/>
    </row>
    <row r="4050" spans="4:5" hidden="1">
      <c r="D4050" s="795"/>
      <c r="E4050" s="795"/>
    </row>
    <row r="4051" spans="4:5" hidden="1">
      <c r="D4051" s="795"/>
      <c r="E4051" s="795"/>
    </row>
    <row r="4052" spans="4:5" hidden="1">
      <c r="D4052" s="795"/>
      <c r="E4052" s="795"/>
    </row>
    <row r="4053" spans="4:5" hidden="1">
      <c r="D4053" s="795"/>
      <c r="E4053" s="795"/>
    </row>
    <row r="4054" spans="4:5" hidden="1">
      <c r="D4054" s="795"/>
      <c r="E4054" s="795"/>
    </row>
    <row r="4055" spans="4:5" hidden="1">
      <c r="D4055" s="795"/>
      <c r="E4055" s="795"/>
    </row>
    <row r="4056" spans="4:5" hidden="1">
      <c r="D4056" s="795"/>
      <c r="E4056" s="795"/>
    </row>
    <row r="4057" spans="4:5" hidden="1">
      <c r="D4057" s="795"/>
      <c r="E4057" s="795"/>
    </row>
    <row r="4058" spans="4:5" hidden="1">
      <c r="D4058" s="795"/>
      <c r="E4058" s="795"/>
    </row>
    <row r="4059" spans="4:5" hidden="1">
      <c r="D4059" s="795"/>
      <c r="E4059" s="795"/>
    </row>
    <row r="4060" spans="4:5" hidden="1">
      <c r="D4060" s="795"/>
      <c r="E4060" s="795"/>
    </row>
    <row r="4061" spans="4:5" hidden="1">
      <c r="D4061" s="795"/>
      <c r="E4061" s="795"/>
    </row>
    <row r="4062" spans="4:5" hidden="1">
      <c r="D4062" s="795"/>
      <c r="E4062" s="795"/>
    </row>
    <row r="4063" spans="4:5" hidden="1">
      <c r="D4063" s="795"/>
      <c r="E4063" s="795"/>
    </row>
    <row r="4064" spans="4:5" hidden="1">
      <c r="D4064" s="795"/>
      <c r="E4064" s="795"/>
    </row>
    <row r="4065" spans="4:5" hidden="1">
      <c r="D4065" s="795"/>
      <c r="E4065" s="795"/>
    </row>
    <row r="4066" spans="4:5" hidden="1">
      <c r="D4066" s="795"/>
      <c r="E4066" s="795"/>
    </row>
    <row r="4067" spans="4:5" hidden="1">
      <c r="D4067" s="795"/>
      <c r="E4067" s="795"/>
    </row>
    <row r="4068" spans="4:5" hidden="1">
      <c r="D4068" s="795"/>
      <c r="E4068" s="795"/>
    </row>
    <row r="4069" spans="4:5" hidden="1">
      <c r="D4069" s="795"/>
      <c r="E4069" s="795"/>
    </row>
    <row r="4070" spans="4:5" hidden="1">
      <c r="D4070" s="795"/>
      <c r="E4070" s="795"/>
    </row>
    <row r="4071" spans="4:5" hidden="1">
      <c r="D4071" s="795"/>
      <c r="E4071" s="795"/>
    </row>
    <row r="4072" spans="4:5" hidden="1">
      <c r="D4072" s="795"/>
      <c r="E4072" s="795"/>
    </row>
    <row r="4073" spans="4:5" hidden="1">
      <c r="D4073" s="795"/>
      <c r="E4073" s="795"/>
    </row>
    <row r="4074" spans="4:5" hidden="1">
      <c r="D4074" s="795"/>
      <c r="E4074" s="795"/>
    </row>
    <row r="4075" spans="4:5" hidden="1">
      <c r="D4075" s="795"/>
      <c r="E4075" s="795"/>
    </row>
    <row r="4076" spans="4:5" hidden="1">
      <c r="D4076" s="795"/>
      <c r="E4076" s="795"/>
    </row>
    <row r="4077" spans="4:5" hidden="1">
      <c r="D4077" s="795"/>
      <c r="E4077" s="795"/>
    </row>
    <row r="4078" spans="4:5" hidden="1">
      <c r="D4078" s="795"/>
      <c r="E4078" s="795"/>
    </row>
    <row r="4079" spans="4:5" hidden="1">
      <c r="D4079" s="795"/>
      <c r="E4079" s="795"/>
    </row>
    <row r="4080" spans="4:5" hidden="1">
      <c r="D4080" s="795"/>
      <c r="E4080" s="795"/>
    </row>
    <row r="4081" spans="4:5" hidden="1">
      <c r="D4081" s="795"/>
      <c r="E4081" s="795"/>
    </row>
    <row r="4082" spans="4:5" hidden="1">
      <c r="D4082" s="795"/>
      <c r="E4082" s="795"/>
    </row>
    <row r="4083" spans="4:5" hidden="1">
      <c r="D4083" s="795"/>
      <c r="E4083" s="795"/>
    </row>
    <row r="4084" spans="4:5" hidden="1">
      <c r="D4084" s="795"/>
      <c r="E4084" s="795"/>
    </row>
    <row r="4085" spans="4:5" hidden="1">
      <c r="D4085" s="795"/>
      <c r="E4085" s="795"/>
    </row>
    <row r="4086" spans="4:5" hidden="1">
      <c r="D4086" s="795"/>
      <c r="E4086" s="795"/>
    </row>
    <row r="4087" spans="4:5" hidden="1">
      <c r="D4087" s="795"/>
      <c r="E4087" s="795"/>
    </row>
    <row r="4088" spans="4:5" hidden="1">
      <c r="D4088" s="795"/>
      <c r="E4088" s="795"/>
    </row>
    <row r="4089" spans="4:5" hidden="1">
      <c r="D4089" s="795"/>
      <c r="E4089" s="795"/>
    </row>
    <row r="4090" spans="4:5" hidden="1">
      <c r="D4090" s="795"/>
      <c r="E4090" s="795"/>
    </row>
    <row r="4091" spans="4:5" hidden="1">
      <c r="D4091" s="795"/>
      <c r="E4091" s="795"/>
    </row>
    <row r="4092" spans="4:5" hidden="1">
      <c r="D4092" s="795"/>
      <c r="E4092" s="795"/>
    </row>
    <row r="4093" spans="4:5" hidden="1">
      <c r="D4093" s="795"/>
      <c r="E4093" s="795"/>
    </row>
    <row r="4094" spans="4:5" hidden="1">
      <c r="D4094" s="795"/>
      <c r="E4094" s="795"/>
    </row>
    <row r="4095" spans="4:5" hidden="1">
      <c r="D4095" s="795"/>
      <c r="E4095" s="795"/>
    </row>
    <row r="4096" spans="4:5" hidden="1">
      <c r="D4096" s="795"/>
      <c r="E4096" s="795"/>
    </row>
    <row r="4097" spans="4:5" hidden="1">
      <c r="D4097" s="795"/>
      <c r="E4097" s="795"/>
    </row>
    <row r="4098" spans="4:5" hidden="1">
      <c r="D4098" s="795"/>
      <c r="E4098" s="795"/>
    </row>
    <row r="4099" spans="4:5" hidden="1">
      <c r="D4099" s="795"/>
      <c r="E4099" s="795"/>
    </row>
    <row r="4100" spans="4:5" hidden="1">
      <c r="D4100" s="795"/>
      <c r="E4100" s="795"/>
    </row>
    <row r="4101" spans="4:5" hidden="1">
      <c r="D4101" s="795"/>
      <c r="E4101" s="795"/>
    </row>
    <row r="4102" spans="4:5" hidden="1">
      <c r="D4102" s="795"/>
      <c r="E4102" s="795"/>
    </row>
    <row r="4103" spans="4:5" hidden="1">
      <c r="D4103" s="795"/>
      <c r="E4103" s="795"/>
    </row>
    <row r="4104" spans="4:5" hidden="1">
      <c r="D4104" s="795"/>
      <c r="E4104" s="795"/>
    </row>
    <row r="4105" spans="4:5" hidden="1">
      <c r="D4105" s="795"/>
      <c r="E4105" s="795"/>
    </row>
    <row r="4106" spans="4:5" hidden="1">
      <c r="D4106" s="795"/>
      <c r="E4106" s="795"/>
    </row>
    <row r="4107" spans="4:5" hidden="1">
      <c r="D4107" s="795"/>
      <c r="E4107" s="795"/>
    </row>
    <row r="4108" spans="4:5" hidden="1">
      <c r="D4108" s="795"/>
      <c r="E4108" s="795"/>
    </row>
    <row r="4109" spans="4:5" hidden="1">
      <c r="D4109" s="795"/>
      <c r="E4109" s="795"/>
    </row>
    <row r="4110" spans="4:5" hidden="1">
      <c r="D4110" s="795"/>
      <c r="E4110" s="795"/>
    </row>
    <row r="4111" spans="4:5" hidden="1">
      <c r="D4111" s="795"/>
      <c r="E4111" s="795"/>
    </row>
    <row r="4112" spans="4:5" hidden="1">
      <c r="D4112" s="795"/>
      <c r="E4112" s="795"/>
    </row>
    <row r="4113" spans="4:5" hidden="1">
      <c r="D4113" s="795"/>
      <c r="E4113" s="795"/>
    </row>
    <row r="4114" spans="4:5" hidden="1">
      <c r="D4114" s="795"/>
      <c r="E4114" s="795"/>
    </row>
    <row r="4115" spans="4:5" hidden="1">
      <c r="D4115" s="795"/>
      <c r="E4115" s="795"/>
    </row>
    <row r="4116" spans="4:5" hidden="1">
      <c r="D4116" s="795"/>
      <c r="E4116" s="795"/>
    </row>
    <row r="4117" spans="4:5" hidden="1">
      <c r="D4117" s="795"/>
      <c r="E4117" s="795"/>
    </row>
    <row r="4118" spans="4:5" hidden="1">
      <c r="D4118" s="795"/>
      <c r="E4118" s="795"/>
    </row>
    <row r="4119" spans="4:5" hidden="1">
      <c r="D4119" s="795"/>
      <c r="E4119" s="795"/>
    </row>
    <row r="4120" spans="4:5" hidden="1">
      <c r="D4120" s="795"/>
      <c r="E4120" s="795"/>
    </row>
    <row r="4121" spans="4:5" hidden="1">
      <c r="D4121" s="795"/>
      <c r="E4121" s="795"/>
    </row>
    <row r="4122" spans="4:5" hidden="1">
      <c r="D4122" s="795"/>
      <c r="E4122" s="795"/>
    </row>
    <row r="4123" spans="4:5" hidden="1">
      <c r="D4123" s="795"/>
      <c r="E4123" s="795"/>
    </row>
    <row r="4124" spans="4:5" hidden="1">
      <c r="D4124" s="795"/>
      <c r="E4124" s="795"/>
    </row>
    <row r="4125" spans="4:5" hidden="1">
      <c r="D4125" s="795"/>
      <c r="E4125" s="795"/>
    </row>
    <row r="4126" spans="4:5" hidden="1">
      <c r="D4126" s="795"/>
      <c r="E4126" s="795"/>
    </row>
    <row r="4127" spans="4:5" hidden="1">
      <c r="D4127" s="795"/>
      <c r="E4127" s="795"/>
    </row>
    <row r="4128" spans="4:5" hidden="1">
      <c r="D4128" s="795"/>
      <c r="E4128" s="795"/>
    </row>
    <row r="4129" spans="4:5" hidden="1">
      <c r="D4129" s="795"/>
      <c r="E4129" s="795"/>
    </row>
    <row r="4130" spans="4:5" hidden="1">
      <c r="D4130" s="795"/>
      <c r="E4130" s="795"/>
    </row>
    <row r="4131" spans="4:5" hidden="1">
      <c r="D4131" s="795"/>
      <c r="E4131" s="795"/>
    </row>
    <row r="4132" spans="4:5" hidden="1">
      <c r="D4132" s="795"/>
      <c r="E4132" s="795"/>
    </row>
    <row r="4133" spans="4:5" hidden="1">
      <c r="D4133" s="795"/>
      <c r="E4133" s="795"/>
    </row>
    <row r="4134" spans="4:5" hidden="1">
      <c r="D4134" s="795"/>
      <c r="E4134" s="795"/>
    </row>
    <row r="4135" spans="4:5" hidden="1">
      <c r="D4135" s="795"/>
      <c r="E4135" s="795"/>
    </row>
    <row r="4136" spans="4:5" hidden="1">
      <c r="D4136" s="795"/>
      <c r="E4136" s="795"/>
    </row>
    <row r="4137" spans="4:5" hidden="1">
      <c r="D4137" s="795"/>
      <c r="E4137" s="795"/>
    </row>
    <row r="4138" spans="4:5" hidden="1">
      <c r="D4138" s="795"/>
      <c r="E4138" s="795"/>
    </row>
    <row r="4139" spans="4:5" hidden="1">
      <c r="D4139" s="795"/>
      <c r="E4139" s="795"/>
    </row>
    <row r="4140" spans="4:5" hidden="1">
      <c r="D4140" s="795"/>
      <c r="E4140" s="795"/>
    </row>
    <row r="4141" spans="4:5" hidden="1">
      <c r="D4141" s="795"/>
      <c r="E4141" s="795"/>
    </row>
    <row r="4142" spans="4:5" hidden="1">
      <c r="D4142" s="795"/>
      <c r="E4142" s="795"/>
    </row>
    <row r="4143" spans="4:5" hidden="1">
      <c r="D4143" s="795"/>
      <c r="E4143" s="795"/>
    </row>
    <row r="4144" spans="4:5" hidden="1">
      <c r="D4144" s="795"/>
      <c r="E4144" s="795"/>
    </row>
    <row r="4145" spans="4:5" hidden="1">
      <c r="D4145" s="795"/>
      <c r="E4145" s="795"/>
    </row>
    <row r="4146" spans="4:5" hidden="1">
      <c r="D4146" s="795"/>
      <c r="E4146" s="795"/>
    </row>
    <row r="4147" spans="4:5" hidden="1">
      <c r="D4147" s="795"/>
      <c r="E4147" s="795"/>
    </row>
    <row r="4148" spans="4:5" hidden="1">
      <c r="D4148" s="795"/>
      <c r="E4148" s="795"/>
    </row>
    <row r="4149" spans="4:5" hidden="1">
      <c r="D4149" s="795"/>
      <c r="E4149" s="795"/>
    </row>
    <row r="4150" spans="4:5" hidden="1">
      <c r="D4150" s="795"/>
      <c r="E4150" s="795"/>
    </row>
    <row r="4151" spans="4:5" hidden="1">
      <c r="D4151" s="795"/>
      <c r="E4151" s="795"/>
    </row>
    <row r="4152" spans="4:5" hidden="1">
      <c r="D4152" s="795"/>
      <c r="E4152" s="795"/>
    </row>
    <row r="4153" spans="4:5" hidden="1">
      <c r="D4153" s="795"/>
      <c r="E4153" s="795"/>
    </row>
    <row r="4154" spans="4:5" hidden="1">
      <c r="D4154" s="795"/>
      <c r="E4154" s="795"/>
    </row>
    <row r="4155" spans="4:5" hidden="1">
      <c r="D4155" s="795"/>
      <c r="E4155" s="795"/>
    </row>
    <row r="4156" spans="4:5" hidden="1">
      <c r="D4156" s="795"/>
      <c r="E4156" s="795"/>
    </row>
    <row r="4157" spans="4:5" hidden="1">
      <c r="D4157" s="795"/>
      <c r="E4157" s="795"/>
    </row>
    <row r="4158" spans="4:5" hidden="1">
      <c r="D4158" s="795"/>
      <c r="E4158" s="795"/>
    </row>
    <row r="4159" spans="4:5" hidden="1">
      <c r="D4159" s="795"/>
      <c r="E4159" s="795"/>
    </row>
    <row r="4160" spans="4:5" hidden="1">
      <c r="D4160" s="795"/>
      <c r="E4160" s="795"/>
    </row>
    <row r="4161" spans="4:5" hidden="1">
      <c r="D4161" s="795"/>
      <c r="E4161" s="795"/>
    </row>
    <row r="4162" spans="4:5" hidden="1">
      <c r="D4162" s="795"/>
      <c r="E4162" s="795"/>
    </row>
    <row r="4163" spans="4:5" hidden="1">
      <c r="D4163" s="795"/>
      <c r="E4163" s="795"/>
    </row>
    <row r="4164" spans="4:5" hidden="1">
      <c r="D4164" s="795"/>
      <c r="E4164" s="795"/>
    </row>
    <row r="4165" spans="4:5" hidden="1">
      <c r="D4165" s="795"/>
      <c r="E4165" s="795"/>
    </row>
    <row r="4166" spans="4:5" hidden="1">
      <c r="D4166" s="795"/>
      <c r="E4166" s="795"/>
    </row>
    <row r="4167" spans="4:5" hidden="1">
      <c r="D4167" s="795"/>
      <c r="E4167" s="795"/>
    </row>
    <row r="4168" spans="4:5" hidden="1">
      <c r="D4168" s="795"/>
      <c r="E4168" s="795"/>
    </row>
    <row r="4169" spans="4:5" hidden="1">
      <c r="D4169" s="795"/>
      <c r="E4169" s="795"/>
    </row>
    <row r="4170" spans="4:5" hidden="1">
      <c r="D4170" s="795"/>
      <c r="E4170" s="795"/>
    </row>
    <row r="4171" spans="4:5" hidden="1">
      <c r="D4171" s="795"/>
      <c r="E4171" s="795"/>
    </row>
    <row r="4172" spans="4:5" hidden="1">
      <c r="D4172" s="795"/>
      <c r="E4172" s="795"/>
    </row>
    <row r="4173" spans="4:5" hidden="1">
      <c r="D4173" s="795"/>
      <c r="E4173" s="795"/>
    </row>
    <row r="4174" spans="4:5" hidden="1">
      <c r="D4174" s="795"/>
      <c r="E4174" s="795"/>
    </row>
    <row r="4175" spans="4:5" hidden="1">
      <c r="D4175" s="795"/>
      <c r="E4175" s="795"/>
    </row>
    <row r="4176" spans="4:5" hidden="1">
      <c r="D4176" s="795"/>
      <c r="E4176" s="795"/>
    </row>
    <row r="4177" spans="4:5" hidden="1">
      <c r="D4177" s="795"/>
      <c r="E4177" s="795"/>
    </row>
    <row r="4178" spans="4:5" hidden="1">
      <c r="D4178" s="795"/>
      <c r="E4178" s="795"/>
    </row>
    <row r="4179" spans="4:5" hidden="1">
      <c r="D4179" s="795"/>
      <c r="E4179" s="795"/>
    </row>
    <row r="4180" spans="4:5" hidden="1">
      <c r="D4180" s="795"/>
      <c r="E4180" s="795"/>
    </row>
    <row r="4181" spans="4:5" hidden="1">
      <c r="D4181" s="795"/>
      <c r="E4181" s="795"/>
    </row>
    <row r="4182" spans="4:5" hidden="1">
      <c r="D4182" s="795"/>
      <c r="E4182" s="795"/>
    </row>
    <row r="4183" spans="4:5" hidden="1">
      <c r="D4183" s="795"/>
      <c r="E4183" s="795"/>
    </row>
    <row r="4184" spans="4:5" hidden="1">
      <c r="D4184" s="795"/>
      <c r="E4184" s="795"/>
    </row>
    <row r="4185" spans="4:5" hidden="1">
      <c r="D4185" s="795"/>
      <c r="E4185" s="795"/>
    </row>
    <row r="4186" spans="4:5" hidden="1">
      <c r="D4186" s="795"/>
      <c r="E4186" s="795"/>
    </row>
    <row r="4187" spans="4:5" hidden="1">
      <c r="D4187" s="795"/>
      <c r="E4187" s="795"/>
    </row>
    <row r="4188" spans="4:5" hidden="1">
      <c r="D4188" s="795"/>
      <c r="E4188" s="795"/>
    </row>
    <row r="4189" spans="4:5" hidden="1">
      <c r="D4189" s="795"/>
      <c r="E4189" s="795"/>
    </row>
    <row r="4190" spans="4:5" hidden="1">
      <c r="D4190" s="795"/>
      <c r="E4190" s="795"/>
    </row>
    <row r="4191" spans="4:5" hidden="1">
      <c r="D4191" s="795"/>
      <c r="E4191" s="795"/>
    </row>
    <row r="4192" spans="4:5" hidden="1">
      <c r="D4192" s="795"/>
      <c r="E4192" s="795"/>
    </row>
    <row r="4193" spans="4:5" hidden="1">
      <c r="D4193" s="795"/>
      <c r="E4193" s="795"/>
    </row>
    <row r="4194" spans="4:5" hidden="1">
      <c r="D4194" s="795"/>
      <c r="E4194" s="795"/>
    </row>
    <row r="4195" spans="4:5" hidden="1">
      <c r="D4195" s="795"/>
      <c r="E4195" s="795"/>
    </row>
    <row r="4196" spans="4:5" hidden="1">
      <c r="D4196" s="795"/>
      <c r="E4196" s="795"/>
    </row>
    <row r="4197" spans="4:5" hidden="1">
      <c r="D4197" s="795"/>
      <c r="E4197" s="795"/>
    </row>
    <row r="4198" spans="4:5" hidden="1">
      <c r="D4198" s="795"/>
      <c r="E4198" s="795"/>
    </row>
    <row r="4199" spans="4:5" hidden="1">
      <c r="D4199" s="795"/>
      <c r="E4199" s="795"/>
    </row>
    <row r="4200" spans="4:5" hidden="1">
      <c r="D4200" s="795"/>
      <c r="E4200" s="795"/>
    </row>
    <row r="4201" spans="4:5" hidden="1">
      <c r="D4201" s="795"/>
      <c r="E4201" s="795"/>
    </row>
    <row r="4202" spans="4:5" hidden="1">
      <c r="D4202" s="795"/>
      <c r="E4202" s="795"/>
    </row>
    <row r="4203" spans="4:5" hidden="1">
      <c r="D4203" s="795"/>
      <c r="E4203" s="795"/>
    </row>
    <row r="4204" spans="4:5" hidden="1">
      <c r="D4204" s="795"/>
      <c r="E4204" s="795"/>
    </row>
    <row r="4205" spans="4:5" hidden="1">
      <c r="D4205" s="795"/>
      <c r="E4205" s="795"/>
    </row>
    <row r="4206" spans="4:5" hidden="1">
      <c r="D4206" s="795"/>
      <c r="E4206" s="795"/>
    </row>
    <row r="4207" spans="4:5" hidden="1">
      <c r="D4207" s="795"/>
      <c r="E4207" s="795"/>
    </row>
    <row r="4208" spans="4:5" hidden="1">
      <c r="D4208" s="795"/>
      <c r="E4208" s="795"/>
    </row>
    <row r="4209" spans="4:5" hidden="1">
      <c r="D4209" s="795"/>
      <c r="E4209" s="795"/>
    </row>
    <row r="4210" spans="4:5" hidden="1">
      <c r="D4210" s="795"/>
      <c r="E4210" s="795"/>
    </row>
    <row r="4211" spans="4:5" hidden="1">
      <c r="D4211" s="795"/>
      <c r="E4211" s="795"/>
    </row>
    <row r="4212" spans="4:5" hidden="1">
      <c r="D4212" s="795"/>
      <c r="E4212" s="795"/>
    </row>
    <row r="4213" spans="4:5" hidden="1">
      <c r="D4213" s="795"/>
      <c r="E4213" s="795"/>
    </row>
    <row r="4214" spans="4:5" hidden="1">
      <c r="D4214" s="795"/>
      <c r="E4214" s="795"/>
    </row>
    <row r="4215" spans="4:5" hidden="1">
      <c r="D4215" s="795"/>
      <c r="E4215" s="795"/>
    </row>
    <row r="4216" spans="4:5" hidden="1">
      <c r="D4216" s="795"/>
      <c r="E4216" s="795"/>
    </row>
    <row r="4217" spans="4:5" hidden="1">
      <c r="D4217" s="795"/>
      <c r="E4217" s="795"/>
    </row>
    <row r="4218" spans="4:5" hidden="1">
      <c r="D4218" s="795"/>
      <c r="E4218" s="795"/>
    </row>
    <row r="4219" spans="4:5" hidden="1">
      <c r="D4219" s="795"/>
      <c r="E4219" s="795"/>
    </row>
    <row r="4220" spans="4:5" hidden="1">
      <c r="D4220" s="795"/>
      <c r="E4220" s="795"/>
    </row>
    <row r="4221" spans="4:5" hidden="1">
      <c r="D4221" s="795"/>
      <c r="E4221" s="795"/>
    </row>
    <row r="4222" spans="4:5" hidden="1">
      <c r="D4222" s="795"/>
      <c r="E4222" s="795"/>
    </row>
    <row r="4223" spans="4:5" hidden="1">
      <c r="D4223" s="795"/>
      <c r="E4223" s="795"/>
    </row>
    <row r="4224" spans="4:5" hidden="1">
      <c r="D4224" s="795"/>
      <c r="E4224" s="795"/>
    </row>
    <row r="4225" spans="4:5" hidden="1">
      <c r="D4225" s="795"/>
      <c r="E4225" s="795"/>
    </row>
    <row r="4226" spans="4:5" hidden="1">
      <c r="D4226" s="795"/>
      <c r="E4226" s="795"/>
    </row>
    <row r="4227" spans="4:5" hidden="1">
      <c r="D4227" s="795"/>
      <c r="E4227" s="795"/>
    </row>
    <row r="4228" spans="4:5" hidden="1">
      <c r="D4228" s="795"/>
      <c r="E4228" s="795"/>
    </row>
    <row r="4229" spans="4:5" hidden="1">
      <c r="D4229" s="795"/>
      <c r="E4229" s="795"/>
    </row>
    <row r="4230" spans="4:5" hidden="1">
      <c r="D4230" s="795"/>
      <c r="E4230" s="795"/>
    </row>
    <row r="4231" spans="4:5" hidden="1">
      <c r="D4231" s="795"/>
      <c r="E4231" s="795"/>
    </row>
    <row r="4232" spans="4:5" hidden="1">
      <c r="D4232" s="795"/>
      <c r="E4232" s="795"/>
    </row>
    <row r="4233" spans="4:5" hidden="1">
      <c r="D4233" s="795"/>
      <c r="E4233" s="795"/>
    </row>
    <row r="4234" spans="4:5" hidden="1">
      <c r="D4234" s="795"/>
      <c r="E4234" s="795"/>
    </row>
    <row r="4235" spans="4:5" hidden="1">
      <c r="D4235" s="795"/>
      <c r="E4235" s="795"/>
    </row>
    <row r="4236" spans="4:5" hidden="1">
      <c r="D4236" s="795"/>
      <c r="E4236" s="795"/>
    </row>
    <row r="4237" spans="4:5" hidden="1">
      <c r="D4237" s="795"/>
      <c r="E4237" s="795"/>
    </row>
    <row r="4238" spans="4:5" hidden="1">
      <c r="D4238" s="795"/>
      <c r="E4238" s="795"/>
    </row>
    <row r="4239" spans="4:5" hidden="1">
      <c r="D4239" s="795"/>
      <c r="E4239" s="795"/>
    </row>
    <row r="4240" spans="4:5" hidden="1">
      <c r="D4240" s="795"/>
      <c r="E4240" s="795"/>
    </row>
    <row r="4241" spans="4:5" hidden="1">
      <c r="D4241" s="795"/>
      <c r="E4241" s="795"/>
    </row>
    <row r="4242" spans="4:5" hidden="1">
      <c r="D4242" s="795"/>
      <c r="E4242" s="795"/>
    </row>
    <row r="4243" spans="4:5" hidden="1">
      <c r="D4243" s="795"/>
      <c r="E4243" s="795"/>
    </row>
    <row r="4244" spans="4:5" hidden="1">
      <c r="D4244" s="795"/>
      <c r="E4244" s="795"/>
    </row>
    <row r="4245" spans="4:5" hidden="1">
      <c r="D4245" s="795"/>
      <c r="E4245" s="795"/>
    </row>
    <row r="4246" spans="4:5" hidden="1">
      <c r="D4246" s="795"/>
      <c r="E4246" s="795"/>
    </row>
    <row r="4247" spans="4:5" hidden="1">
      <c r="D4247" s="795"/>
      <c r="E4247" s="795"/>
    </row>
    <row r="4248" spans="4:5" hidden="1">
      <c r="D4248" s="795"/>
      <c r="E4248" s="795"/>
    </row>
    <row r="4249" spans="4:5" hidden="1">
      <c r="D4249" s="795"/>
      <c r="E4249" s="795"/>
    </row>
    <row r="4250" spans="4:5" hidden="1">
      <c r="D4250" s="795"/>
      <c r="E4250" s="795"/>
    </row>
    <row r="4251" spans="4:5" hidden="1">
      <c r="D4251" s="795"/>
      <c r="E4251" s="795"/>
    </row>
    <row r="4252" spans="4:5" hidden="1">
      <c r="D4252" s="795"/>
      <c r="E4252" s="795"/>
    </row>
    <row r="4253" spans="4:5" hidden="1">
      <c r="D4253" s="795"/>
      <c r="E4253" s="795"/>
    </row>
    <row r="4254" spans="4:5" hidden="1">
      <c r="D4254" s="795"/>
      <c r="E4254" s="795"/>
    </row>
    <row r="4255" spans="4:5" hidden="1">
      <c r="D4255" s="795"/>
      <c r="E4255" s="795"/>
    </row>
    <row r="4256" spans="4:5" hidden="1">
      <c r="D4256" s="795"/>
      <c r="E4256" s="795"/>
    </row>
    <row r="4257" spans="4:5" hidden="1">
      <c r="D4257" s="795"/>
      <c r="E4257" s="795"/>
    </row>
    <row r="4258" spans="4:5" hidden="1">
      <c r="D4258" s="795"/>
      <c r="E4258" s="795"/>
    </row>
    <row r="4259" spans="4:5" hidden="1">
      <c r="D4259" s="795"/>
      <c r="E4259" s="795"/>
    </row>
    <row r="4260" spans="4:5" hidden="1">
      <c r="D4260" s="795"/>
      <c r="E4260" s="795"/>
    </row>
    <row r="4261" spans="4:5" hidden="1">
      <c r="D4261" s="795"/>
      <c r="E4261" s="795"/>
    </row>
    <row r="4262" spans="4:5" hidden="1">
      <c r="D4262" s="795"/>
      <c r="E4262" s="795"/>
    </row>
    <row r="4263" spans="4:5" hidden="1">
      <c r="D4263" s="795"/>
      <c r="E4263" s="795"/>
    </row>
    <row r="4264" spans="4:5" hidden="1">
      <c r="D4264" s="795"/>
      <c r="E4264" s="795"/>
    </row>
    <row r="4265" spans="4:5" hidden="1">
      <c r="D4265" s="795"/>
      <c r="E4265" s="795"/>
    </row>
    <row r="4266" spans="4:5" hidden="1">
      <c r="D4266" s="795"/>
      <c r="E4266" s="795"/>
    </row>
    <row r="4267" spans="4:5" hidden="1">
      <c r="D4267" s="795"/>
      <c r="E4267" s="795"/>
    </row>
    <row r="4268" spans="4:5" hidden="1">
      <c r="D4268" s="795"/>
      <c r="E4268" s="795"/>
    </row>
    <row r="4269" spans="4:5" hidden="1">
      <c r="D4269" s="795"/>
      <c r="E4269" s="795"/>
    </row>
    <row r="4270" spans="4:5" hidden="1">
      <c r="D4270" s="795"/>
      <c r="E4270" s="795"/>
    </row>
    <row r="4271" spans="4:5" hidden="1">
      <c r="D4271" s="795"/>
      <c r="E4271" s="795"/>
    </row>
    <row r="4272" spans="4:5" hidden="1">
      <c r="D4272" s="795"/>
      <c r="E4272" s="795"/>
    </row>
    <row r="4273" spans="4:5" hidden="1">
      <c r="D4273" s="795"/>
      <c r="E4273" s="795"/>
    </row>
    <row r="4274" spans="4:5" hidden="1">
      <c r="D4274" s="795"/>
      <c r="E4274" s="795"/>
    </row>
    <row r="4275" spans="4:5" hidden="1">
      <c r="D4275" s="795"/>
      <c r="E4275" s="795"/>
    </row>
    <row r="4276" spans="4:5" hidden="1">
      <c r="D4276" s="795"/>
      <c r="E4276" s="795"/>
    </row>
    <row r="4277" spans="4:5" hidden="1">
      <c r="D4277" s="795"/>
      <c r="E4277" s="795"/>
    </row>
    <row r="4278" spans="4:5" hidden="1">
      <c r="D4278" s="795"/>
      <c r="E4278" s="795"/>
    </row>
    <row r="4279" spans="4:5" hidden="1">
      <c r="D4279" s="795"/>
      <c r="E4279" s="795"/>
    </row>
    <row r="4280" spans="4:5" hidden="1">
      <c r="D4280" s="795"/>
      <c r="E4280" s="795"/>
    </row>
    <row r="4281" spans="4:5" hidden="1">
      <c r="D4281" s="795"/>
      <c r="E4281" s="795"/>
    </row>
    <row r="4282" spans="4:5" hidden="1">
      <c r="D4282" s="795"/>
      <c r="E4282" s="795"/>
    </row>
    <row r="4283" spans="4:5" hidden="1">
      <c r="D4283" s="795"/>
      <c r="E4283" s="795"/>
    </row>
    <row r="4284" spans="4:5" hidden="1">
      <c r="D4284" s="795"/>
      <c r="E4284" s="795"/>
    </row>
    <row r="4285" spans="4:5" hidden="1">
      <c r="D4285" s="795"/>
      <c r="E4285" s="795"/>
    </row>
    <row r="4286" spans="4:5" hidden="1">
      <c r="D4286" s="795"/>
      <c r="E4286" s="795"/>
    </row>
    <row r="4287" spans="4:5" hidden="1">
      <c r="D4287" s="795"/>
      <c r="E4287" s="795"/>
    </row>
    <row r="4288" spans="4:5" hidden="1">
      <c r="D4288" s="795"/>
      <c r="E4288" s="795"/>
    </row>
    <row r="4289" spans="4:5" hidden="1">
      <c r="D4289" s="795"/>
      <c r="E4289" s="795"/>
    </row>
    <row r="4290" spans="4:5" hidden="1">
      <c r="D4290" s="795"/>
      <c r="E4290" s="795"/>
    </row>
    <row r="4291" spans="4:5" hidden="1">
      <c r="D4291" s="795"/>
      <c r="E4291" s="795"/>
    </row>
    <row r="4292" spans="4:5" hidden="1">
      <c r="D4292" s="795"/>
      <c r="E4292" s="795"/>
    </row>
    <row r="4293" spans="4:5" hidden="1">
      <c r="D4293" s="795"/>
      <c r="E4293" s="795"/>
    </row>
    <row r="4294" spans="4:5" hidden="1">
      <c r="D4294" s="795"/>
      <c r="E4294" s="795"/>
    </row>
    <row r="4295" spans="4:5" hidden="1">
      <c r="D4295" s="795"/>
      <c r="E4295" s="795"/>
    </row>
    <row r="4296" spans="4:5" hidden="1">
      <c r="D4296" s="795"/>
      <c r="E4296" s="795"/>
    </row>
    <row r="4297" spans="4:5" hidden="1">
      <c r="D4297" s="795"/>
      <c r="E4297" s="795"/>
    </row>
    <row r="4298" spans="4:5" hidden="1">
      <c r="D4298" s="795"/>
      <c r="E4298" s="795"/>
    </row>
    <row r="4299" spans="4:5" hidden="1">
      <c r="D4299" s="795"/>
      <c r="E4299" s="795"/>
    </row>
    <row r="4300" spans="4:5" hidden="1">
      <c r="D4300" s="795"/>
      <c r="E4300" s="795"/>
    </row>
    <row r="4301" spans="4:5" hidden="1">
      <c r="D4301" s="795"/>
      <c r="E4301" s="795"/>
    </row>
    <row r="4302" spans="4:5" hidden="1">
      <c r="D4302" s="795"/>
      <c r="E4302" s="795"/>
    </row>
    <row r="4303" spans="4:5" hidden="1">
      <c r="D4303" s="795"/>
      <c r="E4303" s="795"/>
    </row>
    <row r="4304" spans="4:5" hidden="1">
      <c r="D4304" s="795"/>
      <c r="E4304" s="795"/>
    </row>
    <row r="4305" spans="4:5" hidden="1">
      <c r="D4305" s="795"/>
      <c r="E4305" s="795"/>
    </row>
    <row r="4306" spans="4:5" hidden="1">
      <c r="D4306" s="795"/>
      <c r="E4306" s="795"/>
    </row>
    <row r="4307" spans="4:5" hidden="1">
      <c r="D4307" s="795"/>
      <c r="E4307" s="795"/>
    </row>
    <row r="4308" spans="4:5" hidden="1">
      <c r="D4308" s="795"/>
      <c r="E4308" s="795"/>
    </row>
    <row r="4309" spans="4:5" hidden="1">
      <c r="D4309" s="795"/>
      <c r="E4309" s="795"/>
    </row>
    <row r="4310" spans="4:5" hidden="1">
      <c r="D4310" s="795"/>
      <c r="E4310" s="795"/>
    </row>
    <row r="4311" spans="4:5" hidden="1">
      <c r="D4311" s="795"/>
      <c r="E4311" s="795"/>
    </row>
    <row r="4312" spans="4:5" hidden="1">
      <c r="D4312" s="795"/>
      <c r="E4312" s="795"/>
    </row>
    <row r="4313" spans="4:5" hidden="1">
      <c r="D4313" s="795"/>
      <c r="E4313" s="795"/>
    </row>
    <row r="4314" spans="4:5" hidden="1">
      <c r="D4314" s="795"/>
      <c r="E4314" s="795"/>
    </row>
    <row r="4315" spans="4:5" hidden="1">
      <c r="D4315" s="795"/>
      <c r="E4315" s="795"/>
    </row>
    <row r="4316" spans="4:5" hidden="1">
      <c r="D4316" s="795"/>
      <c r="E4316" s="795"/>
    </row>
    <row r="4317" spans="4:5" hidden="1">
      <c r="D4317" s="795"/>
      <c r="E4317" s="795"/>
    </row>
    <row r="4318" spans="4:5" hidden="1">
      <c r="D4318" s="795"/>
      <c r="E4318" s="795"/>
    </row>
    <row r="4319" spans="4:5" hidden="1">
      <c r="D4319" s="795"/>
      <c r="E4319" s="795"/>
    </row>
    <row r="4320" spans="4:5" hidden="1">
      <c r="D4320" s="795"/>
      <c r="E4320" s="795"/>
    </row>
    <row r="4321" spans="4:5" hidden="1">
      <c r="D4321" s="795"/>
      <c r="E4321" s="795"/>
    </row>
    <row r="4322" spans="4:5" hidden="1">
      <c r="D4322" s="795"/>
      <c r="E4322" s="795"/>
    </row>
    <row r="4323" spans="4:5" hidden="1">
      <c r="D4323" s="795"/>
      <c r="E4323" s="795"/>
    </row>
    <row r="4324" spans="4:5" hidden="1">
      <c r="D4324" s="795"/>
      <c r="E4324" s="795"/>
    </row>
    <row r="4325" spans="4:5" hidden="1">
      <c r="D4325" s="795"/>
      <c r="E4325" s="795"/>
    </row>
    <row r="4326" spans="4:5" hidden="1">
      <c r="D4326" s="795"/>
      <c r="E4326" s="795"/>
    </row>
    <row r="4327" spans="4:5" hidden="1">
      <c r="D4327" s="795"/>
      <c r="E4327" s="795"/>
    </row>
    <row r="4328" spans="4:5" hidden="1">
      <c r="D4328" s="795"/>
      <c r="E4328" s="795"/>
    </row>
    <row r="4329" spans="4:5" hidden="1">
      <c r="D4329" s="795"/>
      <c r="E4329" s="795"/>
    </row>
    <row r="4330" spans="4:5" hidden="1">
      <c r="D4330" s="795"/>
      <c r="E4330" s="795"/>
    </row>
    <row r="4331" spans="4:5" hidden="1">
      <c r="D4331" s="795"/>
      <c r="E4331" s="795"/>
    </row>
    <row r="4332" spans="4:5" hidden="1">
      <c r="D4332" s="795"/>
      <c r="E4332" s="795"/>
    </row>
    <row r="4333" spans="4:5" hidden="1">
      <c r="D4333" s="795"/>
      <c r="E4333" s="795"/>
    </row>
    <row r="4334" spans="4:5" hidden="1">
      <c r="D4334" s="795"/>
      <c r="E4334" s="795"/>
    </row>
    <row r="4335" spans="4:5" hidden="1">
      <c r="D4335" s="795"/>
      <c r="E4335" s="795"/>
    </row>
    <row r="4336" spans="4:5" hidden="1">
      <c r="D4336" s="795"/>
      <c r="E4336" s="795"/>
    </row>
    <row r="4337" spans="4:5" hidden="1">
      <c r="D4337" s="795"/>
      <c r="E4337" s="795"/>
    </row>
    <row r="4338" spans="4:5" hidden="1">
      <c r="D4338" s="795"/>
      <c r="E4338" s="795"/>
    </row>
    <row r="4339" spans="4:5" hidden="1">
      <c r="D4339" s="795"/>
      <c r="E4339" s="795"/>
    </row>
    <row r="4340" spans="4:5" hidden="1">
      <c r="D4340" s="795"/>
      <c r="E4340" s="795"/>
    </row>
    <row r="4341" spans="4:5" hidden="1">
      <c r="D4341" s="795"/>
      <c r="E4341" s="795"/>
    </row>
    <row r="4342" spans="4:5" hidden="1">
      <c r="D4342" s="795"/>
      <c r="E4342" s="795"/>
    </row>
    <row r="4343" spans="4:5" hidden="1">
      <c r="D4343" s="795"/>
      <c r="E4343" s="795"/>
    </row>
    <row r="4344" spans="4:5" hidden="1">
      <c r="D4344" s="795"/>
      <c r="E4344" s="795"/>
    </row>
    <row r="4345" spans="4:5" hidden="1">
      <c r="D4345" s="795"/>
      <c r="E4345" s="795"/>
    </row>
    <row r="4346" spans="4:5" hidden="1">
      <c r="D4346" s="795"/>
      <c r="E4346" s="795"/>
    </row>
    <row r="4347" spans="4:5" hidden="1">
      <c r="D4347" s="795"/>
      <c r="E4347" s="795"/>
    </row>
    <row r="4348" spans="4:5" hidden="1">
      <c r="D4348" s="795"/>
      <c r="E4348" s="795"/>
    </row>
    <row r="4349" spans="4:5" hidden="1">
      <c r="D4349" s="795"/>
      <c r="E4349" s="795"/>
    </row>
    <row r="4350" spans="4:5" hidden="1">
      <c r="D4350" s="795"/>
      <c r="E4350" s="795"/>
    </row>
    <row r="4351" spans="4:5" hidden="1">
      <c r="D4351" s="795"/>
      <c r="E4351" s="795"/>
    </row>
    <row r="4352" spans="4:5" hidden="1">
      <c r="D4352" s="795"/>
      <c r="E4352" s="795"/>
    </row>
    <row r="4353" spans="4:5" hidden="1">
      <c r="D4353" s="795"/>
      <c r="E4353" s="795"/>
    </row>
    <row r="4354" spans="4:5" hidden="1">
      <c r="D4354" s="795"/>
      <c r="E4354" s="795"/>
    </row>
    <row r="4355" spans="4:5" hidden="1">
      <c r="D4355" s="795"/>
      <c r="E4355" s="795"/>
    </row>
    <row r="4356" spans="4:5" hidden="1">
      <c r="D4356" s="795"/>
      <c r="E4356" s="795"/>
    </row>
    <row r="4357" spans="4:5" hidden="1">
      <c r="D4357" s="795"/>
      <c r="E4357" s="795"/>
    </row>
    <row r="4358" spans="4:5" hidden="1">
      <c r="D4358" s="795"/>
      <c r="E4358" s="795"/>
    </row>
    <row r="4359" spans="4:5" hidden="1">
      <c r="D4359" s="795"/>
      <c r="E4359" s="795"/>
    </row>
    <row r="4360" spans="4:5" hidden="1">
      <c r="D4360" s="795"/>
      <c r="E4360" s="795"/>
    </row>
    <row r="4361" spans="4:5" hidden="1">
      <c r="D4361" s="795"/>
      <c r="E4361" s="795"/>
    </row>
    <row r="4362" spans="4:5" hidden="1">
      <c r="D4362" s="795"/>
      <c r="E4362" s="795"/>
    </row>
    <row r="4363" spans="4:5" hidden="1">
      <c r="D4363" s="795"/>
      <c r="E4363" s="795"/>
    </row>
    <row r="4364" spans="4:5" hidden="1">
      <c r="D4364" s="795"/>
      <c r="E4364" s="795"/>
    </row>
    <row r="4365" spans="4:5" hidden="1">
      <c r="D4365" s="795"/>
      <c r="E4365" s="795"/>
    </row>
    <row r="4366" spans="4:5" hidden="1">
      <c r="D4366" s="795"/>
      <c r="E4366" s="795"/>
    </row>
    <row r="4367" spans="4:5" hidden="1">
      <c r="D4367" s="795"/>
      <c r="E4367" s="795"/>
    </row>
    <row r="4368" spans="4:5" hidden="1">
      <c r="D4368" s="795"/>
      <c r="E4368" s="795"/>
    </row>
    <row r="4369" spans="4:5" hidden="1">
      <c r="D4369" s="795"/>
      <c r="E4369" s="795"/>
    </row>
    <row r="4370" spans="4:5" hidden="1">
      <c r="D4370" s="795"/>
      <c r="E4370" s="795"/>
    </row>
    <row r="4371" spans="4:5" hidden="1">
      <c r="D4371" s="795"/>
      <c r="E4371" s="795"/>
    </row>
    <row r="4372" spans="4:5" hidden="1">
      <c r="D4372" s="795"/>
      <c r="E4372" s="795"/>
    </row>
    <row r="4373" spans="4:5" hidden="1">
      <c r="D4373" s="795"/>
      <c r="E4373" s="795"/>
    </row>
    <row r="4374" spans="4:5" hidden="1">
      <c r="D4374" s="795"/>
      <c r="E4374" s="795"/>
    </row>
    <row r="4375" spans="4:5" hidden="1">
      <c r="D4375" s="795"/>
      <c r="E4375" s="795"/>
    </row>
    <row r="4376" spans="4:5" hidden="1">
      <c r="D4376" s="795"/>
      <c r="E4376" s="795"/>
    </row>
    <row r="4377" spans="4:5" hidden="1">
      <c r="D4377" s="795"/>
      <c r="E4377" s="795"/>
    </row>
    <row r="4378" spans="4:5" hidden="1">
      <c r="D4378" s="795"/>
      <c r="E4378" s="795"/>
    </row>
    <row r="4379" spans="4:5" hidden="1">
      <c r="D4379" s="795"/>
      <c r="E4379" s="795"/>
    </row>
    <row r="4380" spans="4:5" hidden="1">
      <c r="D4380" s="795"/>
      <c r="E4380" s="795"/>
    </row>
    <row r="4381" spans="4:5" hidden="1">
      <c r="D4381" s="795"/>
      <c r="E4381" s="795"/>
    </row>
    <row r="4382" spans="4:5" hidden="1">
      <c r="D4382" s="795"/>
      <c r="E4382" s="795"/>
    </row>
    <row r="4383" spans="4:5" hidden="1">
      <c r="D4383" s="795"/>
      <c r="E4383" s="795"/>
    </row>
    <row r="4384" spans="4:5" hidden="1">
      <c r="D4384" s="795"/>
      <c r="E4384" s="795"/>
    </row>
    <row r="4385" spans="4:5" hidden="1">
      <c r="D4385" s="795"/>
      <c r="E4385" s="795"/>
    </row>
    <row r="4386" spans="4:5" hidden="1">
      <c r="D4386" s="795"/>
      <c r="E4386" s="795"/>
    </row>
    <row r="4387" spans="4:5" hidden="1">
      <c r="D4387" s="795"/>
      <c r="E4387" s="795"/>
    </row>
    <row r="4388" spans="4:5" hidden="1">
      <c r="D4388" s="795"/>
      <c r="E4388" s="795"/>
    </row>
    <row r="4389" spans="4:5" hidden="1">
      <c r="D4389" s="795"/>
      <c r="E4389" s="795"/>
    </row>
    <row r="4390" spans="4:5" hidden="1">
      <c r="D4390" s="795"/>
      <c r="E4390" s="795"/>
    </row>
    <row r="4391" spans="4:5" hidden="1">
      <c r="D4391" s="795"/>
      <c r="E4391" s="795"/>
    </row>
    <row r="4392" spans="4:5" hidden="1">
      <c r="D4392" s="795"/>
      <c r="E4392" s="795"/>
    </row>
    <row r="4393" spans="4:5" hidden="1">
      <c r="D4393" s="795"/>
      <c r="E4393" s="795"/>
    </row>
    <row r="4394" spans="4:5" hidden="1">
      <c r="D4394" s="795"/>
      <c r="E4394" s="795"/>
    </row>
    <row r="4395" spans="4:5" hidden="1">
      <c r="D4395" s="795"/>
      <c r="E4395" s="795"/>
    </row>
    <row r="4396" spans="4:5" hidden="1">
      <c r="D4396" s="795"/>
      <c r="E4396" s="795"/>
    </row>
    <row r="4397" spans="4:5" hidden="1">
      <c r="D4397" s="795"/>
      <c r="E4397" s="795"/>
    </row>
    <row r="4398" spans="4:5" hidden="1">
      <c r="D4398" s="795"/>
      <c r="E4398" s="795"/>
    </row>
    <row r="4399" spans="4:5" hidden="1">
      <c r="D4399" s="795"/>
      <c r="E4399" s="795"/>
    </row>
    <row r="4400" spans="4:5" hidden="1">
      <c r="D4400" s="795"/>
      <c r="E4400" s="795"/>
    </row>
    <row r="4401" spans="4:5" hidden="1">
      <c r="D4401" s="795"/>
      <c r="E4401" s="795"/>
    </row>
    <row r="4402" spans="4:5" hidden="1">
      <c r="D4402" s="795"/>
      <c r="E4402" s="795"/>
    </row>
    <row r="4403" spans="4:5" hidden="1">
      <c r="D4403" s="795"/>
      <c r="E4403" s="795"/>
    </row>
    <row r="4404" spans="4:5" hidden="1">
      <c r="D4404" s="795"/>
      <c r="E4404" s="795"/>
    </row>
    <row r="4405" spans="4:5" hidden="1">
      <c r="D4405" s="795"/>
      <c r="E4405" s="795"/>
    </row>
    <row r="4406" spans="4:5" hidden="1">
      <c r="D4406" s="795"/>
      <c r="E4406" s="795"/>
    </row>
    <row r="4407" spans="4:5" hidden="1">
      <c r="D4407" s="795"/>
      <c r="E4407" s="795"/>
    </row>
    <row r="4408" spans="4:5" hidden="1">
      <c r="D4408" s="795"/>
      <c r="E4408" s="795"/>
    </row>
    <row r="4409" spans="4:5" hidden="1">
      <c r="D4409" s="795"/>
      <c r="E4409" s="795"/>
    </row>
    <row r="4410" spans="4:5" hidden="1">
      <c r="D4410" s="795"/>
      <c r="E4410" s="795"/>
    </row>
    <row r="4411" spans="4:5" hidden="1">
      <c r="D4411" s="795"/>
      <c r="E4411" s="795"/>
    </row>
    <row r="4412" spans="4:5" hidden="1">
      <c r="D4412" s="795"/>
      <c r="E4412" s="795"/>
    </row>
    <row r="4413" spans="4:5" hidden="1">
      <c r="D4413" s="795"/>
      <c r="E4413" s="795"/>
    </row>
    <row r="4414" spans="4:5" hidden="1">
      <c r="D4414" s="795"/>
      <c r="E4414" s="795"/>
    </row>
    <row r="4415" spans="4:5" hidden="1">
      <c r="D4415" s="795"/>
      <c r="E4415" s="795"/>
    </row>
    <row r="4416" spans="4:5" hidden="1">
      <c r="D4416" s="795"/>
      <c r="E4416" s="795"/>
    </row>
    <row r="4417" spans="4:5" hidden="1">
      <c r="D4417" s="795"/>
      <c r="E4417" s="795"/>
    </row>
    <row r="4418" spans="4:5" hidden="1">
      <c r="D4418" s="795"/>
      <c r="E4418" s="795"/>
    </row>
    <row r="4419" spans="4:5" hidden="1">
      <c r="D4419" s="795"/>
      <c r="E4419" s="795"/>
    </row>
    <row r="4420" spans="4:5" hidden="1">
      <c r="D4420" s="795"/>
      <c r="E4420" s="795"/>
    </row>
    <row r="4421" spans="4:5" hidden="1">
      <c r="D4421" s="795"/>
      <c r="E4421" s="795"/>
    </row>
    <row r="4422" spans="4:5" hidden="1">
      <c r="D4422" s="795"/>
      <c r="E4422" s="795"/>
    </row>
    <row r="4423" spans="4:5" hidden="1">
      <c r="D4423" s="795"/>
      <c r="E4423" s="795"/>
    </row>
    <row r="4424" spans="4:5" hidden="1">
      <c r="D4424" s="795"/>
      <c r="E4424" s="795"/>
    </row>
    <row r="4425" spans="4:5" hidden="1">
      <c r="D4425" s="795"/>
      <c r="E4425" s="795"/>
    </row>
    <row r="4426" spans="4:5" hidden="1">
      <c r="D4426" s="795"/>
      <c r="E4426" s="795"/>
    </row>
    <row r="4427" spans="4:5" hidden="1">
      <c r="D4427" s="795"/>
      <c r="E4427" s="795"/>
    </row>
    <row r="4428" spans="4:5" hidden="1">
      <c r="D4428" s="795"/>
      <c r="E4428" s="795"/>
    </row>
    <row r="4429" spans="4:5" hidden="1">
      <c r="D4429" s="795"/>
      <c r="E4429" s="795"/>
    </row>
    <row r="4430" spans="4:5" hidden="1">
      <c r="D4430" s="795"/>
      <c r="E4430" s="795"/>
    </row>
    <row r="4431" spans="4:5" hidden="1">
      <c r="D4431" s="795"/>
      <c r="E4431" s="795"/>
    </row>
    <row r="4432" spans="4:5" hidden="1">
      <c r="D4432" s="795"/>
      <c r="E4432" s="795"/>
    </row>
    <row r="4433" spans="4:5" hidden="1">
      <c r="D4433" s="795"/>
      <c r="E4433" s="795"/>
    </row>
    <row r="4434" spans="4:5" hidden="1">
      <c r="D4434" s="795"/>
      <c r="E4434" s="795"/>
    </row>
    <row r="4435" spans="4:5" hidden="1">
      <c r="D4435" s="795"/>
      <c r="E4435" s="795"/>
    </row>
    <row r="4436" spans="4:5" hidden="1">
      <c r="D4436" s="795"/>
      <c r="E4436" s="795"/>
    </row>
    <row r="4437" spans="4:5" hidden="1">
      <c r="D4437" s="795"/>
      <c r="E4437" s="795"/>
    </row>
    <row r="4438" spans="4:5" hidden="1">
      <c r="D4438" s="795"/>
      <c r="E4438" s="795"/>
    </row>
    <row r="4439" spans="4:5" hidden="1">
      <c r="D4439" s="795"/>
      <c r="E4439" s="795"/>
    </row>
    <row r="4440" spans="4:5" hidden="1">
      <c r="D4440" s="795"/>
      <c r="E4440" s="795"/>
    </row>
    <row r="4441" spans="4:5" hidden="1">
      <c r="D4441" s="795"/>
      <c r="E4441" s="795"/>
    </row>
    <row r="4442" spans="4:5" hidden="1">
      <c r="D4442" s="795"/>
      <c r="E4442" s="795"/>
    </row>
    <row r="4443" spans="4:5" hidden="1">
      <c r="D4443" s="795"/>
      <c r="E4443" s="795"/>
    </row>
    <row r="4444" spans="4:5" hidden="1">
      <c r="D4444" s="795"/>
      <c r="E4444" s="795"/>
    </row>
    <row r="4445" spans="4:5" hidden="1">
      <c r="D4445" s="795"/>
      <c r="E4445" s="795"/>
    </row>
    <row r="4446" spans="4:5" hidden="1">
      <c r="D4446" s="795"/>
      <c r="E4446" s="795"/>
    </row>
    <row r="4447" spans="4:5" hidden="1">
      <c r="D4447" s="795"/>
      <c r="E4447" s="795"/>
    </row>
    <row r="4448" spans="4:5" hidden="1">
      <c r="D4448" s="795"/>
      <c r="E4448" s="795"/>
    </row>
    <row r="4449" spans="4:5" hidden="1">
      <c r="D4449" s="795"/>
      <c r="E4449" s="795"/>
    </row>
    <row r="4450" spans="4:5" hidden="1">
      <c r="D4450" s="795"/>
      <c r="E4450" s="795"/>
    </row>
    <row r="4451" spans="4:5" hidden="1">
      <c r="D4451" s="795"/>
      <c r="E4451" s="795"/>
    </row>
    <row r="4452" spans="4:5" hidden="1">
      <c r="D4452" s="795"/>
      <c r="E4452" s="795"/>
    </row>
    <row r="4453" spans="4:5" hidden="1">
      <c r="D4453" s="795"/>
      <c r="E4453" s="795"/>
    </row>
    <row r="4454" spans="4:5" hidden="1">
      <c r="D4454" s="795"/>
      <c r="E4454" s="795"/>
    </row>
    <row r="4455" spans="4:5" hidden="1">
      <c r="D4455" s="795"/>
      <c r="E4455" s="795"/>
    </row>
    <row r="4456" spans="4:5" hidden="1">
      <c r="D4456" s="795"/>
      <c r="E4456" s="795"/>
    </row>
    <row r="4457" spans="4:5" hidden="1">
      <c r="D4457" s="795"/>
      <c r="E4457" s="795"/>
    </row>
    <row r="4458" spans="4:5" hidden="1">
      <c r="D4458" s="795"/>
      <c r="E4458" s="795"/>
    </row>
    <row r="4459" spans="4:5" hidden="1">
      <c r="D4459" s="795"/>
      <c r="E4459" s="795"/>
    </row>
    <row r="4460" spans="4:5" hidden="1">
      <c r="D4460" s="795"/>
      <c r="E4460" s="795"/>
    </row>
    <row r="4461" spans="4:5" hidden="1">
      <c r="D4461" s="795"/>
      <c r="E4461" s="795"/>
    </row>
    <row r="4462" spans="4:5" hidden="1">
      <c r="D4462" s="795"/>
      <c r="E4462" s="795"/>
    </row>
    <row r="4463" spans="4:5" hidden="1">
      <c r="D4463" s="795"/>
      <c r="E4463" s="795"/>
    </row>
    <row r="4464" spans="4:5" hidden="1">
      <c r="D4464" s="795"/>
      <c r="E4464" s="795"/>
    </row>
    <row r="4465" spans="4:5" hidden="1">
      <c r="D4465" s="795"/>
      <c r="E4465" s="795"/>
    </row>
    <row r="4466" spans="4:5" hidden="1">
      <c r="D4466" s="795"/>
      <c r="E4466" s="795"/>
    </row>
    <row r="4467" spans="4:5" hidden="1">
      <c r="D4467" s="795"/>
      <c r="E4467" s="795"/>
    </row>
    <row r="4468" spans="4:5" hidden="1">
      <c r="D4468" s="795"/>
      <c r="E4468" s="795"/>
    </row>
    <row r="4469" spans="4:5" hidden="1">
      <c r="D4469" s="795"/>
      <c r="E4469" s="795"/>
    </row>
    <row r="4470" spans="4:5" hidden="1">
      <c r="D4470" s="795"/>
      <c r="E4470" s="795"/>
    </row>
    <row r="4471" spans="4:5" hidden="1">
      <c r="D4471" s="795"/>
      <c r="E4471" s="795"/>
    </row>
    <row r="4472" spans="4:5" hidden="1">
      <c r="D4472" s="795"/>
      <c r="E4472" s="795"/>
    </row>
    <row r="4473" spans="4:5" hidden="1">
      <c r="D4473" s="795"/>
      <c r="E4473" s="795"/>
    </row>
    <row r="4474" spans="4:5" hidden="1">
      <c r="D4474" s="795"/>
      <c r="E4474" s="795"/>
    </row>
    <row r="4475" spans="4:5" hidden="1">
      <c r="D4475" s="795"/>
      <c r="E4475" s="795"/>
    </row>
    <row r="4476" spans="4:5" hidden="1">
      <c r="D4476" s="795"/>
      <c r="E4476" s="795"/>
    </row>
    <row r="4477" spans="4:5" hidden="1">
      <c r="D4477" s="795"/>
      <c r="E4477" s="795"/>
    </row>
    <row r="4478" spans="4:5" hidden="1">
      <c r="D4478" s="795"/>
      <c r="E4478" s="795"/>
    </row>
    <row r="4479" spans="4:5" hidden="1">
      <c r="D4479" s="795"/>
      <c r="E4479" s="795"/>
    </row>
    <row r="4480" spans="4:5" hidden="1">
      <c r="D4480" s="795"/>
      <c r="E4480" s="795"/>
    </row>
    <row r="4481" spans="4:5" hidden="1">
      <c r="D4481" s="795"/>
      <c r="E4481" s="795"/>
    </row>
    <row r="4482" spans="4:5" hidden="1">
      <c r="D4482" s="795"/>
      <c r="E4482" s="795"/>
    </row>
    <row r="4483" spans="4:5" hidden="1">
      <c r="D4483" s="795"/>
      <c r="E4483" s="795"/>
    </row>
    <row r="4484" spans="4:5" hidden="1">
      <c r="D4484" s="795"/>
      <c r="E4484" s="795"/>
    </row>
    <row r="4485" spans="4:5" hidden="1">
      <c r="D4485" s="795"/>
      <c r="E4485" s="795"/>
    </row>
    <row r="4486" spans="4:5" hidden="1">
      <c r="D4486" s="795"/>
      <c r="E4486" s="795"/>
    </row>
    <row r="4487" spans="4:5" hidden="1">
      <c r="D4487" s="795"/>
      <c r="E4487" s="795"/>
    </row>
    <row r="4488" spans="4:5" hidden="1">
      <c r="D4488" s="795"/>
      <c r="E4488" s="795"/>
    </row>
    <row r="4489" spans="4:5" hidden="1">
      <c r="D4489" s="795"/>
      <c r="E4489" s="795"/>
    </row>
    <row r="4490" spans="4:5" hidden="1">
      <c r="D4490" s="795"/>
      <c r="E4490" s="795"/>
    </row>
    <row r="4491" spans="4:5" hidden="1">
      <c r="D4491" s="795"/>
      <c r="E4491" s="795"/>
    </row>
    <row r="4492" spans="4:5" hidden="1">
      <c r="D4492" s="795"/>
      <c r="E4492" s="795"/>
    </row>
    <row r="4493" spans="4:5" hidden="1">
      <c r="D4493" s="795"/>
      <c r="E4493" s="795"/>
    </row>
    <row r="4494" spans="4:5" hidden="1">
      <c r="D4494" s="795"/>
      <c r="E4494" s="795"/>
    </row>
    <row r="4495" spans="4:5" hidden="1">
      <c r="D4495" s="795"/>
      <c r="E4495" s="795"/>
    </row>
    <row r="4496" spans="4:5" hidden="1">
      <c r="D4496" s="795"/>
      <c r="E4496" s="795"/>
    </row>
    <row r="4497" spans="4:5" hidden="1">
      <c r="D4497" s="795"/>
      <c r="E4497" s="795"/>
    </row>
    <row r="4498" spans="4:5" hidden="1">
      <c r="D4498" s="795"/>
      <c r="E4498" s="795"/>
    </row>
    <row r="4499" spans="4:5" hidden="1">
      <c r="D4499" s="795"/>
      <c r="E4499" s="795"/>
    </row>
    <row r="4500" spans="4:5" hidden="1">
      <c r="D4500" s="795"/>
      <c r="E4500" s="795"/>
    </row>
    <row r="4501" spans="4:5" hidden="1">
      <c r="D4501" s="795"/>
      <c r="E4501" s="795"/>
    </row>
    <row r="4502" spans="4:5" hidden="1">
      <c r="D4502" s="795"/>
      <c r="E4502" s="795"/>
    </row>
    <row r="4503" spans="4:5" hidden="1">
      <c r="D4503" s="795"/>
      <c r="E4503" s="795"/>
    </row>
    <row r="4504" spans="4:5" hidden="1">
      <c r="D4504" s="795"/>
      <c r="E4504" s="795"/>
    </row>
    <row r="4505" spans="4:5" hidden="1">
      <c r="D4505" s="795"/>
      <c r="E4505" s="795"/>
    </row>
    <row r="4506" spans="4:5" hidden="1">
      <c r="D4506" s="795"/>
      <c r="E4506" s="795"/>
    </row>
    <row r="4507" spans="4:5" hidden="1">
      <c r="D4507" s="795"/>
      <c r="E4507" s="795"/>
    </row>
    <row r="4508" spans="4:5" hidden="1">
      <c r="D4508" s="795"/>
      <c r="E4508" s="795"/>
    </row>
    <row r="4509" spans="4:5" hidden="1">
      <c r="D4509" s="795"/>
      <c r="E4509" s="795"/>
    </row>
    <row r="4510" spans="4:5" hidden="1">
      <c r="D4510" s="795"/>
      <c r="E4510" s="795"/>
    </row>
    <row r="4511" spans="4:5" hidden="1">
      <c r="D4511" s="795"/>
      <c r="E4511" s="795"/>
    </row>
    <row r="4512" spans="4:5" hidden="1">
      <c r="D4512" s="795"/>
      <c r="E4512" s="795"/>
    </row>
    <row r="4513" spans="4:5" hidden="1">
      <c r="D4513" s="795"/>
      <c r="E4513" s="795"/>
    </row>
    <row r="4514" spans="4:5" hidden="1">
      <c r="D4514" s="795"/>
      <c r="E4514" s="795"/>
    </row>
    <row r="4515" spans="4:5" hidden="1">
      <c r="D4515" s="795"/>
      <c r="E4515" s="795"/>
    </row>
    <row r="4516" spans="4:5" hidden="1">
      <c r="D4516" s="795"/>
      <c r="E4516" s="795"/>
    </row>
    <row r="4517" spans="4:5" hidden="1">
      <c r="D4517" s="795"/>
      <c r="E4517" s="795"/>
    </row>
    <row r="4518" spans="4:5" hidden="1">
      <c r="D4518" s="795"/>
      <c r="E4518" s="795"/>
    </row>
    <row r="4519" spans="4:5" hidden="1">
      <c r="D4519" s="795"/>
      <c r="E4519" s="795"/>
    </row>
    <row r="4520" spans="4:5" hidden="1">
      <c r="D4520" s="795"/>
      <c r="E4520" s="795"/>
    </row>
    <row r="4521" spans="4:5" hidden="1">
      <c r="D4521" s="795"/>
      <c r="E4521" s="795"/>
    </row>
    <row r="4522" spans="4:5" hidden="1">
      <c r="D4522" s="795"/>
      <c r="E4522" s="795"/>
    </row>
    <row r="4523" spans="4:5" hidden="1">
      <c r="D4523" s="795"/>
      <c r="E4523" s="795"/>
    </row>
    <row r="4524" spans="4:5" hidden="1">
      <c r="D4524" s="795"/>
      <c r="E4524" s="795"/>
    </row>
    <row r="4525" spans="4:5" hidden="1">
      <c r="D4525" s="795"/>
      <c r="E4525" s="795"/>
    </row>
    <row r="4526" spans="4:5" hidden="1">
      <c r="D4526" s="795"/>
      <c r="E4526" s="795"/>
    </row>
    <row r="4527" spans="4:5" hidden="1">
      <c r="D4527" s="795"/>
      <c r="E4527" s="795"/>
    </row>
    <row r="4528" spans="4:5" hidden="1">
      <c r="D4528" s="795"/>
      <c r="E4528" s="795"/>
    </row>
    <row r="4529" spans="4:5" hidden="1">
      <c r="D4529" s="795"/>
      <c r="E4529" s="795"/>
    </row>
    <row r="4530" spans="4:5" hidden="1">
      <c r="D4530" s="795"/>
      <c r="E4530" s="795"/>
    </row>
    <row r="4531" spans="4:5" hidden="1">
      <c r="D4531" s="795"/>
      <c r="E4531" s="795"/>
    </row>
    <row r="4532" spans="4:5" hidden="1">
      <c r="D4532" s="795"/>
      <c r="E4532" s="795"/>
    </row>
    <row r="4533" spans="4:5" hidden="1">
      <c r="D4533" s="795"/>
      <c r="E4533" s="795"/>
    </row>
    <row r="4534" spans="4:5" hidden="1">
      <c r="D4534" s="795"/>
      <c r="E4534" s="795"/>
    </row>
    <row r="4535" spans="4:5" hidden="1">
      <c r="D4535" s="795"/>
      <c r="E4535" s="795"/>
    </row>
    <row r="4536" spans="4:5" hidden="1">
      <c r="D4536" s="795"/>
      <c r="E4536" s="795"/>
    </row>
    <row r="4537" spans="4:5" hidden="1">
      <c r="D4537" s="795"/>
      <c r="E4537" s="795"/>
    </row>
    <row r="4538" spans="4:5" hidden="1">
      <c r="D4538" s="795"/>
      <c r="E4538" s="795"/>
    </row>
    <row r="4539" spans="4:5" hidden="1">
      <c r="D4539" s="795"/>
      <c r="E4539" s="795"/>
    </row>
    <row r="4540" spans="4:5" hidden="1">
      <c r="D4540" s="795"/>
      <c r="E4540" s="795"/>
    </row>
    <row r="4541" spans="4:5" hidden="1">
      <c r="D4541" s="795"/>
      <c r="E4541" s="795"/>
    </row>
    <row r="4542" spans="4:5" hidden="1">
      <c r="D4542" s="795"/>
      <c r="E4542" s="795"/>
    </row>
    <row r="4543" spans="4:5" hidden="1">
      <c r="D4543" s="795"/>
      <c r="E4543" s="795"/>
    </row>
    <row r="4544" spans="4:5" hidden="1">
      <c r="D4544" s="795"/>
      <c r="E4544" s="795"/>
    </row>
    <row r="4545" spans="4:5" hidden="1">
      <c r="D4545" s="795"/>
      <c r="E4545" s="795"/>
    </row>
    <row r="4546" spans="4:5" hidden="1">
      <c r="D4546" s="795"/>
      <c r="E4546" s="795"/>
    </row>
    <row r="4547" spans="4:5" hidden="1">
      <c r="D4547" s="795"/>
      <c r="E4547" s="795"/>
    </row>
    <row r="4548" spans="4:5" hidden="1">
      <c r="D4548" s="795"/>
      <c r="E4548" s="795"/>
    </row>
    <row r="4549" spans="4:5" hidden="1">
      <c r="D4549" s="795"/>
      <c r="E4549" s="795"/>
    </row>
    <row r="4550" spans="4:5" hidden="1">
      <c r="D4550" s="795"/>
      <c r="E4550" s="795"/>
    </row>
    <row r="4551" spans="4:5" hidden="1">
      <c r="D4551" s="795"/>
      <c r="E4551" s="795"/>
    </row>
    <row r="4552" spans="4:5" hidden="1">
      <c r="D4552" s="795"/>
      <c r="E4552" s="795"/>
    </row>
    <row r="4553" spans="4:5" hidden="1">
      <c r="D4553" s="795"/>
      <c r="E4553" s="795"/>
    </row>
    <row r="4554" spans="4:5" hidden="1">
      <c r="D4554" s="795"/>
      <c r="E4554" s="795"/>
    </row>
    <row r="4555" spans="4:5" hidden="1">
      <c r="D4555" s="795"/>
      <c r="E4555" s="795"/>
    </row>
    <row r="4556" spans="4:5" hidden="1">
      <c r="D4556" s="795"/>
      <c r="E4556" s="795"/>
    </row>
    <row r="4557" spans="4:5" hidden="1">
      <c r="D4557" s="795"/>
      <c r="E4557" s="795"/>
    </row>
    <row r="4558" spans="4:5" hidden="1">
      <c r="D4558" s="795"/>
      <c r="E4558" s="795"/>
    </row>
    <row r="4559" spans="4:5" hidden="1">
      <c r="D4559" s="795"/>
      <c r="E4559" s="795"/>
    </row>
    <row r="4560" spans="4:5" hidden="1">
      <c r="D4560" s="795"/>
      <c r="E4560" s="795"/>
    </row>
    <row r="4561" spans="4:5" hidden="1">
      <c r="D4561" s="795"/>
      <c r="E4561" s="795"/>
    </row>
    <row r="4562" spans="4:5" hidden="1">
      <c r="D4562" s="795"/>
      <c r="E4562" s="795"/>
    </row>
    <row r="4563" spans="4:5" hidden="1">
      <c r="D4563" s="795"/>
      <c r="E4563" s="795"/>
    </row>
    <row r="4564" spans="4:5" hidden="1">
      <c r="D4564" s="795"/>
      <c r="E4564" s="795"/>
    </row>
    <row r="4565" spans="4:5" hidden="1">
      <c r="D4565" s="795"/>
      <c r="E4565" s="795"/>
    </row>
    <row r="4566" spans="4:5" hidden="1">
      <c r="D4566" s="795"/>
      <c r="E4566" s="795"/>
    </row>
    <row r="4567" spans="4:5" hidden="1">
      <c r="D4567" s="795"/>
      <c r="E4567" s="795"/>
    </row>
    <row r="4568" spans="4:5" hidden="1">
      <c r="D4568" s="795"/>
      <c r="E4568" s="795"/>
    </row>
    <row r="4569" spans="4:5" hidden="1">
      <c r="D4569" s="795"/>
      <c r="E4569" s="795"/>
    </row>
    <row r="4570" spans="4:5" hidden="1">
      <c r="D4570" s="795"/>
      <c r="E4570" s="795"/>
    </row>
    <row r="4571" spans="4:5" hidden="1">
      <c r="D4571" s="795"/>
      <c r="E4571" s="795"/>
    </row>
    <row r="4572" spans="4:5" hidden="1">
      <c r="D4572" s="795"/>
      <c r="E4572" s="795"/>
    </row>
    <row r="4573" spans="4:5" hidden="1">
      <c r="D4573" s="795"/>
      <c r="E4573" s="795"/>
    </row>
    <row r="4574" spans="4:5" hidden="1">
      <c r="D4574" s="795"/>
      <c r="E4574" s="795"/>
    </row>
    <row r="4575" spans="4:5" hidden="1">
      <c r="D4575" s="795"/>
      <c r="E4575" s="795"/>
    </row>
    <row r="4576" spans="4:5" hidden="1">
      <c r="D4576" s="795"/>
      <c r="E4576" s="795"/>
    </row>
    <row r="4577" spans="4:5" hidden="1">
      <c r="D4577" s="795"/>
      <c r="E4577" s="795"/>
    </row>
    <row r="4578" spans="4:5" hidden="1">
      <c r="D4578" s="795"/>
      <c r="E4578" s="795"/>
    </row>
    <row r="4579" spans="4:5" hidden="1">
      <c r="D4579" s="795"/>
      <c r="E4579" s="795"/>
    </row>
    <row r="4580" spans="4:5" hidden="1">
      <c r="D4580" s="795"/>
      <c r="E4580" s="795"/>
    </row>
    <row r="4581" spans="4:5" hidden="1">
      <c r="D4581" s="795"/>
      <c r="E4581" s="795"/>
    </row>
    <row r="4582" spans="4:5" hidden="1">
      <c r="D4582" s="795"/>
      <c r="E4582" s="795"/>
    </row>
    <row r="4583" spans="4:5" hidden="1">
      <c r="D4583" s="795"/>
      <c r="E4583" s="795"/>
    </row>
    <row r="4584" spans="4:5" hidden="1">
      <c r="D4584" s="795"/>
      <c r="E4584" s="795"/>
    </row>
    <row r="4585" spans="4:5" hidden="1">
      <c r="D4585" s="795"/>
      <c r="E4585" s="795"/>
    </row>
    <row r="4586" spans="4:5" hidden="1">
      <c r="D4586" s="795"/>
      <c r="E4586" s="795"/>
    </row>
    <row r="4587" spans="4:5" hidden="1">
      <c r="D4587" s="795"/>
      <c r="E4587" s="795"/>
    </row>
    <row r="4588" spans="4:5" hidden="1">
      <c r="D4588" s="795"/>
      <c r="E4588" s="795"/>
    </row>
    <row r="4589" spans="4:5" hidden="1">
      <c r="D4589" s="795"/>
      <c r="E4589" s="795"/>
    </row>
    <row r="4590" spans="4:5" hidden="1">
      <c r="D4590" s="795"/>
      <c r="E4590" s="795"/>
    </row>
    <row r="4591" spans="4:5" hidden="1">
      <c r="D4591" s="795"/>
      <c r="E4591" s="795"/>
    </row>
    <row r="4592" spans="4:5" hidden="1">
      <c r="D4592" s="795"/>
      <c r="E4592" s="795"/>
    </row>
    <row r="4593" spans="4:5" hidden="1">
      <c r="D4593" s="795"/>
      <c r="E4593" s="795"/>
    </row>
    <row r="4594" spans="4:5" hidden="1">
      <c r="D4594" s="795"/>
      <c r="E4594" s="795"/>
    </row>
    <row r="4595" spans="4:5" hidden="1">
      <c r="D4595" s="795"/>
      <c r="E4595" s="795"/>
    </row>
    <row r="4596" spans="4:5" hidden="1">
      <c r="D4596" s="795"/>
      <c r="E4596" s="795"/>
    </row>
    <row r="4597" spans="4:5" hidden="1">
      <c r="D4597" s="795"/>
      <c r="E4597" s="795"/>
    </row>
    <row r="4598" spans="4:5" hidden="1">
      <c r="D4598" s="795"/>
      <c r="E4598" s="795"/>
    </row>
    <row r="4599" spans="4:5" hidden="1">
      <c r="D4599" s="795"/>
      <c r="E4599" s="795"/>
    </row>
    <row r="4600" spans="4:5" hidden="1">
      <c r="D4600" s="795"/>
      <c r="E4600" s="795"/>
    </row>
    <row r="4601" spans="4:5" hidden="1">
      <c r="D4601" s="795"/>
      <c r="E4601" s="795"/>
    </row>
    <row r="4602" spans="4:5" hidden="1">
      <c r="D4602" s="795"/>
      <c r="E4602" s="795"/>
    </row>
    <row r="4603" spans="4:5" hidden="1">
      <c r="D4603" s="795"/>
      <c r="E4603" s="795"/>
    </row>
    <row r="4604" spans="4:5" hidden="1">
      <c r="D4604" s="795"/>
      <c r="E4604" s="795"/>
    </row>
    <row r="4605" spans="4:5" hidden="1">
      <c r="D4605" s="795"/>
      <c r="E4605" s="795"/>
    </row>
    <row r="4606" spans="4:5" hidden="1">
      <c r="D4606" s="795"/>
      <c r="E4606" s="795"/>
    </row>
    <row r="4607" spans="4:5" hidden="1">
      <c r="D4607" s="795"/>
      <c r="E4607" s="795"/>
    </row>
    <row r="4608" spans="4:5" hidden="1">
      <c r="D4608" s="795"/>
      <c r="E4608" s="795"/>
    </row>
    <row r="4609" spans="4:5" hidden="1">
      <c r="D4609" s="795"/>
      <c r="E4609" s="795"/>
    </row>
    <row r="4610" spans="4:5" hidden="1">
      <c r="D4610" s="795"/>
      <c r="E4610" s="795"/>
    </row>
    <row r="4611" spans="4:5" hidden="1">
      <c r="D4611" s="795"/>
      <c r="E4611" s="795"/>
    </row>
    <row r="4612" spans="4:5" hidden="1">
      <c r="D4612" s="795"/>
      <c r="E4612" s="795"/>
    </row>
    <row r="4613" spans="4:5" hidden="1">
      <c r="D4613" s="795"/>
      <c r="E4613" s="795"/>
    </row>
    <row r="4614" spans="4:5" hidden="1">
      <c r="D4614" s="795"/>
      <c r="E4614" s="795"/>
    </row>
    <row r="4615" spans="4:5" hidden="1">
      <c r="D4615" s="795"/>
      <c r="E4615" s="795"/>
    </row>
    <row r="4616" spans="4:5" hidden="1">
      <c r="D4616" s="795"/>
      <c r="E4616" s="795"/>
    </row>
    <row r="4617" spans="4:5" hidden="1">
      <c r="D4617" s="795"/>
      <c r="E4617" s="795"/>
    </row>
    <row r="4618" spans="4:5" hidden="1">
      <c r="D4618" s="795"/>
      <c r="E4618" s="795"/>
    </row>
    <row r="4619" spans="4:5" hidden="1">
      <c r="D4619" s="795"/>
      <c r="E4619" s="795"/>
    </row>
    <row r="4620" spans="4:5" hidden="1">
      <c r="D4620" s="795"/>
      <c r="E4620" s="795"/>
    </row>
    <row r="4621" spans="4:5" hidden="1">
      <c r="D4621" s="795"/>
      <c r="E4621" s="795"/>
    </row>
    <row r="4622" spans="4:5" hidden="1">
      <c r="D4622" s="795"/>
      <c r="E4622" s="795"/>
    </row>
    <row r="4623" spans="4:5" hidden="1">
      <c r="D4623" s="795"/>
      <c r="E4623" s="795"/>
    </row>
    <row r="4624" spans="4:5" hidden="1">
      <c r="D4624" s="795"/>
      <c r="E4624" s="795"/>
    </row>
    <row r="4625" spans="4:5" hidden="1">
      <c r="D4625" s="795"/>
      <c r="E4625" s="795"/>
    </row>
    <row r="4626" spans="4:5" hidden="1">
      <c r="D4626" s="795"/>
      <c r="E4626" s="795"/>
    </row>
    <row r="4627" spans="4:5" hidden="1">
      <c r="D4627" s="795"/>
      <c r="E4627" s="795"/>
    </row>
    <row r="4628" spans="4:5" hidden="1">
      <c r="D4628" s="795"/>
      <c r="E4628" s="795"/>
    </row>
    <row r="4629" spans="4:5" hidden="1">
      <c r="D4629" s="795"/>
      <c r="E4629" s="795"/>
    </row>
    <row r="4630" spans="4:5" hidden="1">
      <c r="D4630" s="795"/>
      <c r="E4630" s="795"/>
    </row>
    <row r="4631" spans="4:5" hidden="1">
      <c r="D4631" s="795"/>
      <c r="E4631" s="795"/>
    </row>
    <row r="4632" spans="4:5" hidden="1">
      <c r="D4632" s="795"/>
      <c r="E4632" s="795"/>
    </row>
    <row r="4633" spans="4:5" hidden="1">
      <c r="D4633" s="795"/>
      <c r="E4633" s="795"/>
    </row>
    <row r="4634" spans="4:5" hidden="1">
      <c r="D4634" s="795"/>
      <c r="E4634" s="795"/>
    </row>
    <row r="4635" spans="4:5" hidden="1">
      <c r="D4635" s="795"/>
      <c r="E4635" s="795"/>
    </row>
    <row r="4636" spans="4:5" hidden="1">
      <c r="D4636" s="795"/>
      <c r="E4636" s="795"/>
    </row>
    <row r="4637" spans="4:5" hidden="1">
      <c r="D4637" s="795"/>
      <c r="E4637" s="795"/>
    </row>
    <row r="4638" spans="4:5" hidden="1">
      <c r="D4638" s="795"/>
      <c r="E4638" s="795"/>
    </row>
    <row r="4639" spans="4:5" hidden="1">
      <c r="D4639" s="795"/>
      <c r="E4639" s="795"/>
    </row>
    <row r="4640" spans="4:5" hidden="1">
      <c r="D4640" s="795"/>
      <c r="E4640" s="795"/>
    </row>
    <row r="4641" spans="4:5" hidden="1">
      <c r="D4641" s="795"/>
      <c r="E4641" s="795"/>
    </row>
    <row r="4642" spans="4:5" hidden="1">
      <c r="D4642" s="795"/>
      <c r="E4642" s="795"/>
    </row>
    <row r="4643" spans="4:5" hidden="1">
      <c r="D4643" s="795"/>
      <c r="E4643" s="795"/>
    </row>
    <row r="4644" spans="4:5" hidden="1">
      <c r="D4644" s="795"/>
      <c r="E4644" s="795"/>
    </row>
    <row r="4645" spans="4:5" hidden="1">
      <c r="D4645" s="795"/>
      <c r="E4645" s="795"/>
    </row>
    <row r="4646" spans="4:5" hidden="1">
      <c r="D4646" s="795"/>
      <c r="E4646" s="795"/>
    </row>
    <row r="4647" spans="4:5" hidden="1">
      <c r="D4647" s="795"/>
      <c r="E4647" s="795"/>
    </row>
    <row r="4648" spans="4:5" hidden="1">
      <c r="D4648" s="795"/>
      <c r="E4648" s="795"/>
    </row>
    <row r="4649" spans="4:5" hidden="1">
      <c r="D4649" s="795"/>
      <c r="E4649" s="795"/>
    </row>
    <row r="4650" spans="4:5" hidden="1">
      <c r="D4650" s="795"/>
      <c r="E4650" s="795"/>
    </row>
    <row r="4651" spans="4:5" hidden="1">
      <c r="D4651" s="795"/>
      <c r="E4651" s="795"/>
    </row>
    <row r="4652" spans="4:5" hidden="1">
      <c r="D4652" s="795"/>
      <c r="E4652" s="795"/>
    </row>
    <row r="4653" spans="4:5" hidden="1">
      <c r="D4653" s="795"/>
      <c r="E4653" s="795"/>
    </row>
    <row r="4654" spans="4:5" hidden="1">
      <c r="D4654" s="795"/>
      <c r="E4654" s="795"/>
    </row>
    <row r="4655" spans="4:5" hidden="1">
      <c r="D4655" s="795"/>
      <c r="E4655" s="795"/>
    </row>
    <row r="4656" spans="4:5" hidden="1">
      <c r="D4656" s="795"/>
      <c r="E4656" s="795"/>
    </row>
    <row r="4657" spans="4:5" hidden="1">
      <c r="D4657" s="795"/>
      <c r="E4657" s="795"/>
    </row>
    <row r="4658" spans="4:5" hidden="1">
      <c r="D4658" s="795"/>
      <c r="E4658" s="795"/>
    </row>
    <row r="4659" spans="4:5" hidden="1">
      <c r="D4659" s="795"/>
      <c r="E4659" s="795"/>
    </row>
    <row r="4660" spans="4:5" hidden="1">
      <c r="D4660" s="795"/>
      <c r="E4660" s="795"/>
    </row>
    <row r="4661" spans="4:5" hidden="1">
      <c r="D4661" s="795"/>
      <c r="E4661" s="795"/>
    </row>
    <row r="4662" spans="4:5" hidden="1">
      <c r="D4662" s="795"/>
      <c r="E4662" s="795"/>
    </row>
    <row r="4663" spans="4:5" hidden="1">
      <c r="D4663" s="795"/>
      <c r="E4663" s="795"/>
    </row>
    <row r="4664" spans="4:5" hidden="1">
      <c r="D4664" s="795"/>
      <c r="E4664" s="795"/>
    </row>
    <row r="4665" spans="4:5" hidden="1">
      <c r="D4665" s="795"/>
      <c r="E4665" s="795"/>
    </row>
    <row r="4666" spans="4:5" hidden="1">
      <c r="D4666" s="795"/>
      <c r="E4666" s="795"/>
    </row>
    <row r="4667" spans="4:5" hidden="1">
      <c r="D4667" s="795"/>
      <c r="E4667" s="795"/>
    </row>
    <row r="4668" spans="4:5" hidden="1">
      <c r="D4668" s="795"/>
      <c r="E4668" s="795"/>
    </row>
    <row r="4669" spans="4:5" hidden="1">
      <c r="D4669" s="795"/>
      <c r="E4669" s="795"/>
    </row>
    <row r="4670" spans="4:5" hidden="1">
      <c r="D4670" s="795"/>
      <c r="E4670" s="795"/>
    </row>
    <row r="4671" spans="4:5" hidden="1">
      <c r="D4671" s="795"/>
      <c r="E4671" s="795"/>
    </row>
    <row r="4672" spans="4:5" hidden="1">
      <c r="D4672" s="795"/>
      <c r="E4672" s="795"/>
    </row>
    <row r="4673" spans="4:5" hidden="1">
      <c r="D4673" s="795"/>
      <c r="E4673" s="795"/>
    </row>
    <row r="4674" spans="4:5" hidden="1">
      <c r="D4674" s="795"/>
      <c r="E4674" s="795"/>
    </row>
    <row r="4675" spans="4:5" hidden="1">
      <c r="D4675" s="795"/>
      <c r="E4675" s="795"/>
    </row>
    <row r="4676" spans="4:5" hidden="1">
      <c r="D4676" s="795"/>
      <c r="E4676" s="795"/>
    </row>
    <row r="4677" spans="4:5" hidden="1">
      <c r="D4677" s="795"/>
      <c r="E4677" s="795"/>
    </row>
    <row r="4678" spans="4:5" hidden="1">
      <c r="D4678" s="795"/>
      <c r="E4678" s="795"/>
    </row>
    <row r="4679" spans="4:5" hidden="1">
      <c r="D4679" s="795"/>
      <c r="E4679" s="795"/>
    </row>
    <row r="4680" spans="4:5" hidden="1">
      <c r="D4680" s="795"/>
      <c r="E4680" s="795"/>
    </row>
    <row r="4681" spans="4:5" hidden="1">
      <c r="D4681" s="795"/>
      <c r="E4681" s="795"/>
    </row>
    <row r="4682" spans="4:5" hidden="1">
      <c r="D4682" s="795"/>
      <c r="E4682" s="795"/>
    </row>
    <row r="4683" spans="4:5" hidden="1">
      <c r="D4683" s="795"/>
      <c r="E4683" s="795"/>
    </row>
    <row r="4684" spans="4:5" hidden="1">
      <c r="D4684" s="795"/>
      <c r="E4684" s="795"/>
    </row>
    <row r="4685" spans="4:5" hidden="1">
      <c r="D4685" s="795"/>
      <c r="E4685" s="795"/>
    </row>
    <row r="4686" spans="4:5" hidden="1">
      <c r="D4686" s="795"/>
      <c r="E4686" s="795"/>
    </row>
    <row r="4687" spans="4:5" hidden="1">
      <c r="D4687" s="795"/>
      <c r="E4687" s="795"/>
    </row>
    <row r="4688" spans="4:5" hidden="1">
      <c r="D4688" s="795"/>
      <c r="E4688" s="795"/>
    </row>
    <row r="4689" spans="4:5" hidden="1">
      <c r="D4689" s="795"/>
      <c r="E4689" s="795"/>
    </row>
    <row r="4690" spans="4:5" hidden="1">
      <c r="D4690" s="795"/>
      <c r="E4690" s="795"/>
    </row>
    <row r="4691" spans="4:5" hidden="1">
      <c r="D4691" s="795"/>
      <c r="E4691" s="795"/>
    </row>
    <row r="4692" spans="4:5" hidden="1">
      <c r="D4692" s="795"/>
      <c r="E4692" s="795"/>
    </row>
    <row r="4693" spans="4:5" hidden="1">
      <c r="D4693" s="795"/>
      <c r="E4693" s="795"/>
    </row>
    <row r="4694" spans="4:5" hidden="1">
      <c r="D4694" s="795"/>
      <c r="E4694" s="795"/>
    </row>
    <row r="4695" spans="4:5" hidden="1">
      <c r="D4695" s="795"/>
      <c r="E4695" s="795"/>
    </row>
    <row r="4696" spans="4:5" hidden="1">
      <c r="D4696" s="795"/>
      <c r="E4696" s="795"/>
    </row>
    <row r="4697" spans="4:5" hidden="1">
      <c r="D4697" s="795"/>
      <c r="E4697" s="795"/>
    </row>
    <row r="4698" spans="4:5" hidden="1">
      <c r="D4698" s="795"/>
      <c r="E4698" s="795"/>
    </row>
    <row r="4699" spans="4:5" hidden="1">
      <c r="D4699" s="795"/>
      <c r="E4699" s="795"/>
    </row>
    <row r="4700" spans="4:5" hidden="1">
      <c r="D4700" s="795"/>
      <c r="E4700" s="795"/>
    </row>
    <row r="4701" spans="4:5" hidden="1">
      <c r="D4701" s="795"/>
      <c r="E4701" s="795"/>
    </row>
    <row r="4702" spans="4:5" hidden="1">
      <c r="D4702" s="795"/>
      <c r="E4702" s="795"/>
    </row>
    <row r="4703" spans="4:5" hidden="1">
      <c r="D4703" s="795"/>
      <c r="E4703" s="795"/>
    </row>
    <row r="4704" spans="4:5" hidden="1">
      <c r="D4704" s="795"/>
      <c r="E4704" s="795"/>
    </row>
    <row r="4705" spans="4:5" hidden="1">
      <c r="D4705" s="795"/>
      <c r="E4705" s="795"/>
    </row>
    <row r="4706" spans="4:5" hidden="1">
      <c r="D4706" s="795"/>
      <c r="E4706" s="795"/>
    </row>
    <row r="4707" spans="4:5" hidden="1">
      <c r="D4707" s="795"/>
      <c r="E4707" s="795"/>
    </row>
    <row r="4708" spans="4:5" hidden="1">
      <c r="D4708" s="795"/>
      <c r="E4708" s="795"/>
    </row>
    <row r="4709" spans="4:5" hidden="1">
      <c r="D4709" s="795"/>
      <c r="E4709" s="795"/>
    </row>
    <row r="4710" spans="4:5" hidden="1">
      <c r="D4710" s="795"/>
      <c r="E4710" s="795"/>
    </row>
    <row r="4711" spans="4:5" hidden="1">
      <c r="D4711" s="795"/>
      <c r="E4711" s="795"/>
    </row>
    <row r="4712" spans="4:5" hidden="1">
      <c r="D4712" s="795"/>
      <c r="E4712" s="795"/>
    </row>
    <row r="4713" spans="4:5" hidden="1">
      <c r="D4713" s="795"/>
      <c r="E4713" s="795"/>
    </row>
    <row r="4714" spans="4:5" hidden="1">
      <c r="D4714" s="795"/>
      <c r="E4714" s="795"/>
    </row>
    <row r="4715" spans="4:5" hidden="1">
      <c r="D4715" s="795"/>
      <c r="E4715" s="795"/>
    </row>
    <row r="4716" spans="4:5" hidden="1">
      <c r="D4716" s="795"/>
      <c r="E4716" s="795"/>
    </row>
    <row r="4717" spans="4:5" hidden="1">
      <c r="D4717" s="795"/>
      <c r="E4717" s="795"/>
    </row>
    <row r="4718" spans="4:5" hidden="1">
      <c r="D4718" s="795"/>
      <c r="E4718" s="795"/>
    </row>
    <row r="4719" spans="4:5" hidden="1">
      <c r="D4719" s="795"/>
      <c r="E4719" s="795"/>
    </row>
    <row r="4720" spans="4:5" hidden="1">
      <c r="D4720" s="795"/>
      <c r="E4720" s="795"/>
    </row>
    <row r="4721" spans="4:5" hidden="1">
      <c r="D4721" s="795"/>
      <c r="E4721" s="795"/>
    </row>
    <row r="4722" spans="4:5" hidden="1">
      <c r="D4722" s="795"/>
      <c r="E4722" s="795"/>
    </row>
    <row r="4723" spans="4:5" hidden="1">
      <c r="D4723" s="795"/>
      <c r="E4723" s="795"/>
    </row>
    <row r="4724" spans="4:5" hidden="1">
      <c r="D4724" s="795"/>
      <c r="E4724" s="795"/>
    </row>
    <row r="4725" spans="4:5" hidden="1">
      <c r="D4725" s="795"/>
      <c r="E4725" s="795"/>
    </row>
    <row r="4726" spans="4:5" hidden="1">
      <c r="D4726" s="795"/>
      <c r="E4726" s="795"/>
    </row>
    <row r="4727" spans="4:5" hidden="1">
      <c r="D4727" s="795"/>
      <c r="E4727" s="795"/>
    </row>
    <row r="4728" spans="4:5" hidden="1">
      <c r="D4728" s="795"/>
      <c r="E4728" s="795"/>
    </row>
    <row r="4729" spans="4:5" hidden="1">
      <c r="D4729" s="795"/>
      <c r="E4729" s="795"/>
    </row>
    <row r="4730" spans="4:5" hidden="1">
      <c r="D4730" s="795"/>
      <c r="E4730" s="795"/>
    </row>
    <row r="4731" spans="4:5" hidden="1">
      <c r="D4731" s="795"/>
      <c r="E4731" s="795"/>
    </row>
    <row r="4732" spans="4:5" hidden="1">
      <c r="D4732" s="795"/>
      <c r="E4732" s="795"/>
    </row>
    <row r="4733" spans="4:5" hidden="1">
      <c r="D4733" s="795"/>
      <c r="E4733" s="795"/>
    </row>
    <row r="4734" spans="4:5" hidden="1">
      <c r="D4734" s="795"/>
      <c r="E4734" s="795"/>
    </row>
    <row r="4735" spans="4:5" hidden="1">
      <c r="D4735" s="795"/>
      <c r="E4735" s="795"/>
    </row>
    <row r="4736" spans="4:5" hidden="1">
      <c r="D4736" s="795"/>
      <c r="E4736" s="795"/>
    </row>
    <row r="4737" spans="4:5" hidden="1">
      <c r="D4737" s="795"/>
      <c r="E4737" s="795"/>
    </row>
    <row r="4738" spans="4:5" hidden="1">
      <c r="D4738" s="795"/>
      <c r="E4738" s="795"/>
    </row>
    <row r="4739" spans="4:5" hidden="1">
      <c r="D4739" s="795"/>
      <c r="E4739" s="795"/>
    </row>
    <row r="4740" spans="4:5" hidden="1">
      <c r="D4740" s="795"/>
      <c r="E4740" s="795"/>
    </row>
    <row r="4741" spans="4:5" hidden="1">
      <c r="D4741" s="795"/>
      <c r="E4741" s="795"/>
    </row>
    <row r="4742" spans="4:5" hidden="1">
      <c r="D4742" s="795"/>
      <c r="E4742" s="795"/>
    </row>
    <row r="4743" spans="4:5" hidden="1">
      <c r="D4743" s="795"/>
      <c r="E4743" s="795"/>
    </row>
    <row r="4744" spans="4:5" hidden="1">
      <c r="D4744" s="795"/>
      <c r="E4744" s="795"/>
    </row>
    <row r="4745" spans="4:5" hidden="1">
      <c r="D4745" s="795"/>
      <c r="E4745" s="795"/>
    </row>
    <row r="4746" spans="4:5" hidden="1">
      <c r="D4746" s="795"/>
      <c r="E4746" s="795"/>
    </row>
    <row r="4747" spans="4:5" hidden="1">
      <c r="D4747" s="795"/>
      <c r="E4747" s="795"/>
    </row>
    <row r="4748" spans="4:5" hidden="1">
      <c r="D4748" s="795"/>
      <c r="E4748" s="795"/>
    </row>
    <row r="4749" spans="4:5" hidden="1">
      <c r="D4749" s="795"/>
      <c r="E4749" s="795"/>
    </row>
    <row r="4750" spans="4:5" hidden="1">
      <c r="D4750" s="795"/>
      <c r="E4750" s="795"/>
    </row>
    <row r="4751" spans="4:5" hidden="1">
      <c r="D4751" s="795"/>
      <c r="E4751" s="795"/>
    </row>
    <row r="4752" spans="4:5" hidden="1">
      <c r="D4752" s="795"/>
      <c r="E4752" s="795"/>
    </row>
    <row r="4753" spans="4:5" hidden="1">
      <c r="D4753" s="795"/>
      <c r="E4753" s="795"/>
    </row>
    <row r="4754" spans="4:5" hidden="1">
      <c r="D4754" s="795"/>
      <c r="E4754" s="795"/>
    </row>
    <row r="4755" spans="4:5" hidden="1">
      <c r="D4755" s="795"/>
      <c r="E4755" s="795"/>
    </row>
    <row r="4756" spans="4:5" hidden="1">
      <c r="D4756" s="795"/>
      <c r="E4756" s="795"/>
    </row>
    <row r="4757" spans="4:5" hidden="1">
      <c r="D4757" s="795"/>
      <c r="E4757" s="795"/>
    </row>
    <row r="4758" spans="4:5" hidden="1">
      <c r="D4758" s="795"/>
      <c r="E4758" s="795"/>
    </row>
    <row r="4759" spans="4:5" hidden="1">
      <c r="D4759" s="795"/>
      <c r="E4759" s="795"/>
    </row>
    <row r="4760" spans="4:5" hidden="1">
      <c r="D4760" s="795"/>
      <c r="E4760" s="795"/>
    </row>
    <row r="4761" spans="4:5" hidden="1">
      <c r="D4761" s="795"/>
      <c r="E4761" s="795"/>
    </row>
    <row r="4762" spans="4:5" hidden="1">
      <c r="D4762" s="795"/>
      <c r="E4762" s="795"/>
    </row>
    <row r="4763" spans="4:5" hidden="1">
      <c r="D4763" s="795"/>
      <c r="E4763" s="795"/>
    </row>
    <row r="4764" spans="4:5" hidden="1">
      <c r="D4764" s="795"/>
      <c r="E4764" s="795"/>
    </row>
    <row r="4765" spans="4:5" hidden="1">
      <c r="D4765" s="795"/>
      <c r="E4765" s="795"/>
    </row>
    <row r="4766" spans="4:5" hidden="1">
      <c r="D4766" s="795"/>
      <c r="E4766" s="795"/>
    </row>
    <row r="4767" spans="4:5" hidden="1">
      <c r="D4767" s="795"/>
      <c r="E4767" s="795"/>
    </row>
    <row r="4768" spans="4:5" hidden="1">
      <c r="D4768" s="795"/>
      <c r="E4768" s="795"/>
    </row>
    <row r="4769" spans="4:5" hidden="1">
      <c r="D4769" s="795"/>
      <c r="E4769" s="795"/>
    </row>
    <row r="4770" spans="4:5" hidden="1">
      <c r="D4770" s="795"/>
      <c r="E4770" s="795"/>
    </row>
    <row r="4771" spans="4:5" hidden="1">
      <c r="D4771" s="795"/>
      <c r="E4771" s="795"/>
    </row>
    <row r="4772" spans="4:5" hidden="1">
      <c r="D4772" s="795"/>
      <c r="E4772" s="795"/>
    </row>
    <row r="4773" spans="4:5" hidden="1">
      <c r="D4773" s="795"/>
      <c r="E4773" s="795"/>
    </row>
    <row r="4774" spans="4:5" hidden="1">
      <c r="D4774" s="795"/>
      <c r="E4774" s="795"/>
    </row>
    <row r="4775" spans="4:5" hidden="1">
      <c r="D4775" s="795"/>
      <c r="E4775" s="795"/>
    </row>
    <row r="4776" spans="4:5" hidden="1">
      <c r="D4776" s="795"/>
      <c r="E4776" s="795"/>
    </row>
    <row r="4777" spans="4:5" hidden="1">
      <c r="D4777" s="795"/>
      <c r="E4777" s="795"/>
    </row>
    <row r="4778" spans="4:5" hidden="1">
      <c r="D4778" s="795"/>
      <c r="E4778" s="795"/>
    </row>
    <row r="4779" spans="4:5" hidden="1">
      <c r="D4779" s="795"/>
      <c r="E4779" s="795"/>
    </row>
    <row r="4780" spans="4:5" hidden="1">
      <c r="D4780" s="795"/>
      <c r="E4780" s="795"/>
    </row>
    <row r="4781" spans="4:5" hidden="1">
      <c r="D4781" s="795"/>
      <c r="E4781" s="795"/>
    </row>
    <row r="4782" spans="4:5" hidden="1">
      <c r="D4782" s="795"/>
      <c r="E4782" s="795"/>
    </row>
    <row r="4783" spans="4:5" hidden="1">
      <c r="D4783" s="795"/>
      <c r="E4783" s="795"/>
    </row>
    <row r="4784" spans="4:5" hidden="1">
      <c r="D4784" s="795"/>
      <c r="E4784" s="795"/>
    </row>
    <row r="4785" spans="4:5" hidden="1">
      <c r="D4785" s="795"/>
      <c r="E4785" s="795"/>
    </row>
    <row r="4786" spans="4:5" hidden="1">
      <c r="D4786" s="795"/>
      <c r="E4786" s="795"/>
    </row>
    <row r="4787" spans="4:5" hidden="1">
      <c r="D4787" s="795"/>
      <c r="E4787" s="795"/>
    </row>
    <row r="4788" spans="4:5" hidden="1">
      <c r="D4788" s="795"/>
      <c r="E4788" s="795"/>
    </row>
    <row r="4789" spans="4:5" hidden="1">
      <c r="D4789" s="795"/>
      <c r="E4789" s="795"/>
    </row>
    <row r="4790" spans="4:5" hidden="1">
      <c r="D4790" s="795"/>
      <c r="E4790" s="795"/>
    </row>
    <row r="4791" spans="4:5" hidden="1">
      <c r="D4791" s="795"/>
      <c r="E4791" s="795"/>
    </row>
    <row r="4792" spans="4:5" hidden="1">
      <c r="D4792" s="795"/>
      <c r="E4792" s="795"/>
    </row>
    <row r="4793" spans="4:5" hidden="1">
      <c r="D4793" s="795"/>
      <c r="E4793" s="795"/>
    </row>
    <row r="4794" spans="4:5" hidden="1">
      <c r="D4794" s="795"/>
      <c r="E4794" s="795"/>
    </row>
    <row r="4795" spans="4:5" hidden="1">
      <c r="D4795" s="795"/>
      <c r="E4795" s="795"/>
    </row>
    <row r="4796" spans="4:5" hidden="1">
      <c r="D4796" s="795"/>
      <c r="E4796" s="795"/>
    </row>
    <row r="4797" spans="4:5" hidden="1">
      <c r="D4797" s="795"/>
      <c r="E4797" s="795"/>
    </row>
    <row r="4798" spans="4:5" hidden="1">
      <c r="D4798" s="795"/>
      <c r="E4798" s="795"/>
    </row>
    <row r="4799" spans="4:5" hidden="1">
      <c r="D4799" s="795"/>
      <c r="E4799" s="795"/>
    </row>
    <row r="4800" spans="4:5" hidden="1">
      <c r="D4800" s="795"/>
      <c r="E4800" s="795"/>
    </row>
    <row r="4801" spans="4:5" hidden="1">
      <c r="D4801" s="795"/>
      <c r="E4801" s="795"/>
    </row>
    <row r="4802" spans="4:5" hidden="1">
      <c r="D4802" s="795"/>
      <c r="E4802" s="795"/>
    </row>
    <row r="4803" spans="4:5" hidden="1">
      <c r="D4803" s="795"/>
      <c r="E4803" s="795"/>
    </row>
    <row r="4804" spans="4:5" hidden="1">
      <c r="D4804" s="795"/>
      <c r="E4804" s="795"/>
    </row>
    <row r="4805" spans="4:5" hidden="1">
      <c r="D4805" s="795"/>
      <c r="E4805" s="795"/>
    </row>
    <row r="4806" spans="4:5" hidden="1">
      <c r="D4806" s="795"/>
      <c r="E4806" s="795"/>
    </row>
    <row r="4807" spans="4:5" hidden="1">
      <c r="D4807" s="795"/>
      <c r="E4807" s="795"/>
    </row>
    <row r="4808" spans="4:5" hidden="1">
      <c r="D4808" s="795"/>
      <c r="E4808" s="795"/>
    </row>
    <row r="4809" spans="4:5" hidden="1">
      <c r="D4809" s="795"/>
      <c r="E4809" s="795"/>
    </row>
    <row r="4810" spans="4:5" hidden="1">
      <c r="D4810" s="795"/>
      <c r="E4810" s="795"/>
    </row>
    <row r="4811" spans="4:5" hidden="1">
      <c r="D4811" s="795"/>
      <c r="E4811" s="795"/>
    </row>
    <row r="4812" spans="4:5" hidden="1">
      <c r="D4812" s="795"/>
      <c r="E4812" s="795"/>
    </row>
    <row r="4813" spans="4:5" hidden="1">
      <c r="D4813" s="795"/>
      <c r="E4813" s="795"/>
    </row>
    <row r="4814" spans="4:5" hidden="1">
      <c r="D4814" s="795"/>
      <c r="E4814" s="795"/>
    </row>
    <row r="4815" spans="4:5" hidden="1">
      <c r="D4815" s="795"/>
      <c r="E4815" s="795"/>
    </row>
    <row r="4816" spans="4:5" hidden="1">
      <c r="D4816" s="795"/>
      <c r="E4816" s="795"/>
    </row>
    <row r="4817" spans="4:5" hidden="1">
      <c r="D4817" s="795"/>
      <c r="E4817" s="795"/>
    </row>
    <row r="4818" spans="4:5" hidden="1">
      <c r="D4818" s="795"/>
      <c r="E4818" s="795"/>
    </row>
    <row r="4819" spans="4:5" hidden="1">
      <c r="D4819" s="795"/>
      <c r="E4819" s="795"/>
    </row>
    <row r="4820" spans="4:5" hidden="1">
      <c r="D4820" s="795"/>
      <c r="E4820" s="795"/>
    </row>
    <row r="4821" spans="4:5" hidden="1">
      <c r="D4821" s="795"/>
      <c r="E4821" s="795"/>
    </row>
    <row r="4822" spans="4:5" hidden="1">
      <c r="D4822" s="795"/>
      <c r="E4822" s="795"/>
    </row>
    <row r="4823" spans="4:5" hidden="1">
      <c r="D4823" s="795"/>
      <c r="E4823" s="795"/>
    </row>
    <row r="4824" spans="4:5" hidden="1">
      <c r="D4824" s="795"/>
      <c r="E4824" s="795"/>
    </row>
    <row r="4825" spans="4:5" hidden="1">
      <c r="D4825" s="795"/>
      <c r="E4825" s="795"/>
    </row>
    <row r="4826" spans="4:5" hidden="1">
      <c r="D4826" s="795"/>
      <c r="E4826" s="795"/>
    </row>
    <row r="4827" spans="4:5" hidden="1">
      <c r="D4827" s="795"/>
      <c r="E4827" s="795"/>
    </row>
    <row r="4828" spans="4:5" hidden="1">
      <c r="D4828" s="795"/>
      <c r="E4828" s="795"/>
    </row>
    <row r="4829" spans="4:5" hidden="1">
      <c r="D4829" s="795"/>
      <c r="E4829" s="795"/>
    </row>
    <row r="4830" spans="4:5" hidden="1">
      <c r="D4830" s="795"/>
      <c r="E4830" s="795"/>
    </row>
    <row r="4831" spans="4:5" hidden="1">
      <c r="D4831" s="795"/>
      <c r="E4831" s="795"/>
    </row>
    <row r="4832" spans="4:5" hidden="1">
      <c r="D4832" s="795"/>
      <c r="E4832" s="795"/>
    </row>
    <row r="4833" spans="4:5" hidden="1">
      <c r="D4833" s="795"/>
      <c r="E4833" s="795"/>
    </row>
    <row r="4834" spans="4:5" hidden="1">
      <c r="D4834" s="795"/>
      <c r="E4834" s="795"/>
    </row>
    <row r="4835" spans="4:5" hidden="1">
      <c r="D4835" s="795"/>
      <c r="E4835" s="795"/>
    </row>
    <row r="4836" spans="4:5" hidden="1">
      <c r="D4836" s="795"/>
      <c r="E4836" s="795"/>
    </row>
    <row r="4837" spans="4:5" hidden="1">
      <c r="D4837" s="795"/>
      <c r="E4837" s="795"/>
    </row>
    <row r="4838" spans="4:5" hidden="1">
      <c r="D4838" s="795"/>
      <c r="E4838" s="795"/>
    </row>
    <row r="4839" spans="4:5" hidden="1">
      <c r="D4839" s="795"/>
      <c r="E4839" s="795"/>
    </row>
    <row r="4840" spans="4:5" hidden="1">
      <c r="D4840" s="795"/>
      <c r="E4840" s="795"/>
    </row>
    <row r="4841" spans="4:5" hidden="1">
      <c r="D4841" s="795"/>
      <c r="E4841" s="795"/>
    </row>
    <row r="4842" spans="4:5" hidden="1">
      <c r="D4842" s="795"/>
      <c r="E4842" s="795"/>
    </row>
    <row r="4843" spans="4:5" hidden="1">
      <c r="D4843" s="795"/>
      <c r="E4843" s="795"/>
    </row>
    <row r="4844" spans="4:5" hidden="1">
      <c r="D4844" s="795"/>
      <c r="E4844" s="795"/>
    </row>
    <row r="4845" spans="4:5" hidden="1">
      <c r="D4845" s="795"/>
      <c r="E4845" s="795"/>
    </row>
    <row r="4846" spans="4:5" hidden="1">
      <c r="D4846" s="795"/>
      <c r="E4846" s="795"/>
    </row>
    <row r="4847" spans="4:5" hidden="1">
      <c r="D4847" s="795"/>
      <c r="E4847" s="795"/>
    </row>
    <row r="4848" spans="4:5" hidden="1">
      <c r="D4848" s="795"/>
      <c r="E4848" s="795"/>
    </row>
    <row r="4849" spans="4:5" hidden="1">
      <c r="D4849" s="795"/>
      <c r="E4849" s="795"/>
    </row>
    <row r="4850" spans="4:5" hidden="1">
      <c r="D4850" s="795"/>
      <c r="E4850" s="795"/>
    </row>
    <row r="4851" spans="4:5" hidden="1">
      <c r="D4851" s="795"/>
      <c r="E4851" s="795"/>
    </row>
    <row r="4852" spans="4:5" hidden="1">
      <c r="D4852" s="795"/>
      <c r="E4852" s="795"/>
    </row>
    <row r="4853" spans="4:5" hidden="1">
      <c r="D4853" s="795"/>
      <c r="E4853" s="795"/>
    </row>
    <row r="4854" spans="4:5" hidden="1">
      <c r="D4854" s="795"/>
      <c r="E4854" s="795"/>
    </row>
    <row r="4855" spans="4:5" hidden="1">
      <c r="D4855" s="795"/>
      <c r="E4855" s="795"/>
    </row>
    <row r="4856" spans="4:5" hidden="1">
      <c r="D4856" s="795"/>
      <c r="E4856" s="795"/>
    </row>
    <row r="4857" spans="4:5" hidden="1">
      <c r="D4857" s="795"/>
      <c r="E4857" s="795"/>
    </row>
    <row r="4858" spans="4:5" hidden="1">
      <c r="D4858" s="795"/>
      <c r="E4858" s="795"/>
    </row>
    <row r="4859" spans="4:5" hidden="1">
      <c r="D4859" s="795"/>
      <c r="E4859" s="795"/>
    </row>
    <row r="4860" spans="4:5" hidden="1">
      <c r="D4860" s="795"/>
      <c r="E4860" s="795"/>
    </row>
    <row r="4861" spans="4:5" hidden="1">
      <c r="D4861" s="795"/>
      <c r="E4861" s="795"/>
    </row>
    <row r="4862" spans="4:5" hidden="1">
      <c r="D4862" s="795"/>
      <c r="E4862" s="795"/>
    </row>
    <row r="4863" spans="4:5" hidden="1">
      <c r="D4863" s="795"/>
      <c r="E4863" s="795"/>
    </row>
    <row r="4864" spans="4:5" hidden="1">
      <c r="D4864" s="795"/>
      <c r="E4864" s="795"/>
    </row>
    <row r="4865" spans="4:5" hidden="1">
      <c r="D4865" s="795"/>
      <c r="E4865" s="795"/>
    </row>
    <row r="4866" spans="4:5" hidden="1">
      <c r="D4866" s="795"/>
      <c r="E4866" s="795"/>
    </row>
    <row r="4867" spans="4:5" hidden="1">
      <c r="D4867" s="795"/>
      <c r="E4867" s="795"/>
    </row>
    <row r="4868" spans="4:5" hidden="1">
      <c r="D4868" s="795"/>
      <c r="E4868" s="795"/>
    </row>
    <row r="4869" spans="4:5" hidden="1">
      <c r="D4869" s="795"/>
      <c r="E4869" s="795"/>
    </row>
    <row r="4870" spans="4:5" hidden="1">
      <c r="D4870" s="795"/>
      <c r="E4870" s="795"/>
    </row>
    <row r="4871" spans="4:5" hidden="1">
      <c r="D4871" s="795"/>
      <c r="E4871" s="795"/>
    </row>
    <row r="4872" spans="4:5" hidden="1">
      <c r="D4872" s="795"/>
      <c r="E4872" s="795"/>
    </row>
    <row r="4873" spans="4:5" hidden="1">
      <c r="D4873" s="795"/>
      <c r="E4873" s="795"/>
    </row>
    <row r="4874" spans="4:5" hidden="1">
      <c r="D4874" s="795"/>
      <c r="E4874" s="795"/>
    </row>
    <row r="4875" spans="4:5" hidden="1">
      <c r="D4875" s="795"/>
      <c r="E4875" s="795"/>
    </row>
    <row r="4876" spans="4:5" hidden="1">
      <c r="D4876" s="795"/>
      <c r="E4876" s="795"/>
    </row>
    <row r="4877" spans="4:5" hidden="1">
      <c r="D4877" s="795"/>
      <c r="E4877" s="795"/>
    </row>
    <row r="4878" spans="4:5" hidden="1">
      <c r="D4878" s="795"/>
      <c r="E4878" s="795"/>
    </row>
    <row r="4879" spans="4:5" hidden="1">
      <c r="D4879" s="795"/>
      <c r="E4879" s="795"/>
    </row>
    <row r="4880" spans="4:5" hidden="1">
      <c r="D4880" s="795"/>
      <c r="E4880" s="795"/>
    </row>
    <row r="4881" spans="4:5" hidden="1">
      <c r="D4881" s="795"/>
      <c r="E4881" s="795"/>
    </row>
    <row r="4882" spans="4:5" hidden="1">
      <c r="D4882" s="795"/>
      <c r="E4882" s="795"/>
    </row>
    <row r="4883" spans="4:5" hidden="1">
      <c r="D4883" s="795"/>
      <c r="E4883" s="795"/>
    </row>
    <row r="4884" spans="4:5" hidden="1">
      <c r="D4884" s="795"/>
      <c r="E4884" s="795"/>
    </row>
    <row r="4885" spans="4:5" hidden="1">
      <c r="D4885" s="795"/>
      <c r="E4885" s="795"/>
    </row>
    <row r="4886" spans="4:5" hidden="1">
      <c r="D4886" s="795"/>
      <c r="E4886" s="795"/>
    </row>
    <row r="4887" spans="4:5" hidden="1">
      <c r="D4887" s="795"/>
      <c r="E4887" s="795"/>
    </row>
    <row r="4888" spans="4:5" hidden="1">
      <c r="D4888" s="795"/>
      <c r="E4888" s="795"/>
    </row>
    <row r="4889" spans="4:5" hidden="1">
      <c r="D4889" s="795"/>
      <c r="E4889" s="795"/>
    </row>
    <row r="4890" spans="4:5" hidden="1">
      <c r="D4890" s="795"/>
      <c r="E4890" s="795"/>
    </row>
    <row r="4891" spans="4:5" hidden="1">
      <c r="D4891" s="795"/>
      <c r="E4891" s="795"/>
    </row>
    <row r="4892" spans="4:5" hidden="1">
      <c r="D4892" s="795"/>
      <c r="E4892" s="795"/>
    </row>
    <row r="4893" spans="4:5" hidden="1">
      <c r="D4893" s="795"/>
      <c r="E4893" s="795"/>
    </row>
    <row r="4894" spans="4:5" hidden="1">
      <c r="D4894" s="795"/>
      <c r="E4894" s="795"/>
    </row>
    <row r="4895" spans="4:5" hidden="1">
      <c r="D4895" s="795"/>
      <c r="E4895" s="795"/>
    </row>
    <row r="4896" spans="4:5" hidden="1">
      <c r="D4896" s="795"/>
      <c r="E4896" s="795"/>
    </row>
    <row r="4897" spans="4:5" hidden="1">
      <c r="D4897" s="795"/>
      <c r="E4897" s="795"/>
    </row>
    <row r="4898" spans="4:5" hidden="1">
      <c r="D4898" s="795"/>
      <c r="E4898" s="795"/>
    </row>
    <row r="4899" spans="4:5" hidden="1">
      <c r="D4899" s="795"/>
      <c r="E4899" s="795"/>
    </row>
    <row r="4900" spans="4:5" hidden="1">
      <c r="D4900" s="795"/>
      <c r="E4900" s="795"/>
    </row>
    <row r="4901" spans="4:5" hidden="1">
      <c r="D4901" s="795"/>
      <c r="E4901" s="795"/>
    </row>
    <row r="4902" spans="4:5" hidden="1">
      <c r="D4902" s="795"/>
      <c r="E4902" s="795"/>
    </row>
    <row r="4903" spans="4:5" hidden="1">
      <c r="D4903" s="795"/>
      <c r="E4903" s="795"/>
    </row>
    <row r="4904" spans="4:5" hidden="1">
      <c r="D4904" s="795"/>
      <c r="E4904" s="795"/>
    </row>
    <row r="4905" spans="4:5" hidden="1">
      <c r="D4905" s="795"/>
      <c r="E4905" s="795"/>
    </row>
    <row r="4906" spans="4:5" hidden="1">
      <c r="D4906" s="795"/>
      <c r="E4906" s="795"/>
    </row>
    <row r="4907" spans="4:5" hidden="1">
      <c r="D4907" s="795"/>
      <c r="E4907" s="795"/>
    </row>
    <row r="4908" spans="4:5" hidden="1">
      <c r="D4908" s="795"/>
      <c r="E4908" s="795"/>
    </row>
    <row r="4909" spans="4:5" hidden="1">
      <c r="D4909" s="795"/>
      <c r="E4909" s="795"/>
    </row>
    <row r="4910" spans="4:5" hidden="1">
      <c r="D4910" s="795"/>
      <c r="E4910" s="795"/>
    </row>
    <row r="4911" spans="4:5" hidden="1">
      <c r="D4911" s="795"/>
      <c r="E4911" s="795"/>
    </row>
    <row r="4912" spans="4:5" hidden="1">
      <c r="D4912" s="795"/>
      <c r="E4912" s="795"/>
    </row>
    <row r="4913" spans="4:5" hidden="1">
      <c r="D4913" s="795"/>
      <c r="E4913" s="795"/>
    </row>
    <row r="4914" spans="4:5" hidden="1">
      <c r="D4914" s="795"/>
      <c r="E4914" s="795"/>
    </row>
    <row r="4915" spans="4:5" hidden="1">
      <c r="D4915" s="795"/>
      <c r="E4915" s="795"/>
    </row>
    <row r="4916" spans="4:5" hidden="1">
      <c r="D4916" s="795"/>
      <c r="E4916" s="795"/>
    </row>
    <row r="4917" spans="4:5" hidden="1">
      <c r="D4917" s="795"/>
      <c r="E4917" s="795"/>
    </row>
    <row r="4918" spans="4:5" hidden="1">
      <c r="D4918" s="795"/>
      <c r="E4918" s="795"/>
    </row>
    <row r="4919" spans="4:5" hidden="1">
      <c r="D4919" s="795"/>
      <c r="E4919" s="795"/>
    </row>
    <row r="4920" spans="4:5" hidden="1">
      <c r="D4920" s="795"/>
      <c r="E4920" s="795"/>
    </row>
    <row r="4921" spans="4:5" hidden="1">
      <c r="D4921" s="795"/>
      <c r="E4921" s="795"/>
    </row>
    <row r="4922" spans="4:5" hidden="1">
      <c r="D4922" s="795"/>
      <c r="E4922" s="795"/>
    </row>
    <row r="4923" spans="4:5" hidden="1">
      <c r="D4923" s="795"/>
      <c r="E4923" s="795"/>
    </row>
    <row r="4924" spans="4:5" hidden="1">
      <c r="D4924" s="795"/>
      <c r="E4924" s="795"/>
    </row>
    <row r="4925" spans="4:5" hidden="1">
      <c r="D4925" s="795"/>
      <c r="E4925" s="795"/>
    </row>
    <row r="4926" spans="4:5" hidden="1">
      <c r="D4926" s="795"/>
      <c r="E4926" s="795"/>
    </row>
    <row r="4927" spans="4:5" hidden="1">
      <c r="D4927" s="795"/>
      <c r="E4927" s="795"/>
    </row>
    <row r="4928" spans="4:5" hidden="1">
      <c r="D4928" s="795"/>
      <c r="E4928" s="795"/>
    </row>
    <row r="4929" spans="4:5" hidden="1">
      <c r="D4929" s="795"/>
      <c r="E4929" s="795"/>
    </row>
    <row r="4930" spans="4:5" hidden="1">
      <c r="D4930" s="795"/>
      <c r="E4930" s="795"/>
    </row>
    <row r="4931" spans="4:5" hidden="1">
      <c r="D4931" s="795"/>
      <c r="E4931" s="795"/>
    </row>
    <row r="4932" spans="4:5" hidden="1">
      <c r="D4932" s="795"/>
      <c r="E4932" s="795"/>
    </row>
    <row r="4933" spans="4:5" hidden="1">
      <c r="D4933" s="795"/>
      <c r="E4933" s="795"/>
    </row>
    <row r="4934" spans="4:5" hidden="1">
      <c r="D4934" s="795"/>
      <c r="E4934" s="795"/>
    </row>
    <row r="4935" spans="4:5" hidden="1">
      <c r="D4935" s="795"/>
      <c r="E4935" s="795"/>
    </row>
    <row r="4936" spans="4:5" hidden="1">
      <c r="D4936" s="795"/>
      <c r="E4936" s="795"/>
    </row>
    <row r="4937" spans="4:5" hidden="1">
      <c r="D4937" s="795"/>
      <c r="E4937" s="795"/>
    </row>
    <row r="4938" spans="4:5" hidden="1">
      <c r="D4938" s="795"/>
      <c r="E4938" s="795"/>
    </row>
    <row r="4939" spans="4:5" hidden="1">
      <c r="D4939" s="795"/>
      <c r="E4939" s="795"/>
    </row>
    <row r="4940" spans="4:5" hidden="1">
      <c r="D4940" s="795"/>
      <c r="E4940" s="795"/>
    </row>
    <row r="4941" spans="4:5" hidden="1">
      <c r="D4941" s="795"/>
      <c r="E4941" s="795"/>
    </row>
    <row r="4942" spans="4:5" hidden="1">
      <c r="D4942" s="795"/>
      <c r="E4942" s="795"/>
    </row>
    <row r="4943" spans="4:5" hidden="1">
      <c r="D4943" s="795"/>
      <c r="E4943" s="795"/>
    </row>
    <row r="4944" spans="4:5" hidden="1">
      <c r="D4944" s="795"/>
      <c r="E4944" s="795"/>
    </row>
    <row r="4945" spans="4:5" hidden="1">
      <c r="D4945" s="795"/>
      <c r="E4945" s="795"/>
    </row>
    <row r="4946" spans="4:5" hidden="1">
      <c r="D4946" s="795"/>
      <c r="E4946" s="795"/>
    </row>
    <row r="4947" spans="4:5" hidden="1">
      <c r="D4947" s="795"/>
      <c r="E4947" s="795"/>
    </row>
    <row r="4948" spans="4:5" hidden="1">
      <c r="D4948" s="795"/>
      <c r="E4948" s="795"/>
    </row>
    <row r="4949" spans="4:5" hidden="1">
      <c r="D4949" s="795"/>
      <c r="E4949" s="795"/>
    </row>
    <row r="4950" spans="4:5" hidden="1">
      <c r="D4950" s="795"/>
      <c r="E4950" s="795"/>
    </row>
    <row r="4951" spans="4:5" hidden="1">
      <c r="D4951" s="795"/>
      <c r="E4951" s="795"/>
    </row>
    <row r="4952" spans="4:5" hidden="1">
      <c r="D4952" s="795"/>
      <c r="E4952" s="795"/>
    </row>
    <row r="4953" spans="4:5" hidden="1">
      <c r="D4953" s="795"/>
      <c r="E4953" s="795"/>
    </row>
    <row r="4954" spans="4:5" hidden="1">
      <c r="D4954" s="795"/>
      <c r="E4954" s="795"/>
    </row>
    <row r="4955" spans="4:5" hidden="1">
      <c r="D4955" s="795"/>
      <c r="E4955" s="795"/>
    </row>
    <row r="4956" spans="4:5" hidden="1">
      <c r="D4956" s="795"/>
      <c r="E4956" s="795"/>
    </row>
    <row r="4957" spans="4:5" hidden="1">
      <c r="D4957" s="795"/>
      <c r="E4957" s="795"/>
    </row>
    <row r="4958" spans="4:5" hidden="1">
      <c r="D4958" s="795"/>
      <c r="E4958" s="795"/>
    </row>
    <row r="4959" spans="4:5" hidden="1">
      <c r="D4959" s="795"/>
      <c r="E4959" s="795"/>
    </row>
    <row r="4960" spans="4:5" hidden="1">
      <c r="D4960" s="795"/>
      <c r="E4960" s="795"/>
    </row>
    <row r="4961" spans="4:5" hidden="1">
      <c r="D4961" s="795"/>
      <c r="E4961" s="795"/>
    </row>
    <row r="4962" spans="4:5" hidden="1">
      <c r="D4962" s="795"/>
      <c r="E4962" s="795"/>
    </row>
    <row r="4963" spans="4:5" hidden="1">
      <c r="D4963" s="795"/>
      <c r="E4963" s="795"/>
    </row>
    <row r="4964" spans="4:5" hidden="1">
      <c r="D4964" s="795"/>
      <c r="E4964" s="795"/>
    </row>
    <row r="4965" spans="4:5" hidden="1">
      <c r="D4965" s="795"/>
      <c r="E4965" s="795"/>
    </row>
    <row r="4966" spans="4:5" hidden="1">
      <c r="D4966" s="795"/>
      <c r="E4966" s="795"/>
    </row>
    <row r="4967" spans="4:5" hidden="1">
      <c r="D4967" s="795"/>
      <c r="E4967" s="795"/>
    </row>
    <row r="4968" spans="4:5" hidden="1">
      <c r="D4968" s="795"/>
      <c r="E4968" s="795"/>
    </row>
    <row r="4969" spans="4:5" hidden="1">
      <c r="D4969" s="795"/>
      <c r="E4969" s="795"/>
    </row>
    <row r="4970" spans="4:5" hidden="1">
      <c r="D4970" s="795"/>
      <c r="E4970" s="795"/>
    </row>
    <row r="4971" spans="4:5" hidden="1">
      <c r="D4971" s="795"/>
      <c r="E4971" s="795"/>
    </row>
    <row r="4972" spans="4:5" hidden="1">
      <c r="D4972" s="795"/>
      <c r="E4972" s="795"/>
    </row>
    <row r="4973" spans="4:5" hidden="1">
      <c r="D4973" s="795"/>
      <c r="E4973" s="795"/>
    </row>
    <row r="4974" spans="4:5" hidden="1">
      <c r="D4974" s="795"/>
      <c r="E4974" s="795"/>
    </row>
    <row r="4975" spans="4:5" hidden="1">
      <c r="D4975" s="795"/>
      <c r="E4975" s="795"/>
    </row>
    <row r="4976" spans="4:5" hidden="1">
      <c r="D4976" s="795"/>
      <c r="E4976" s="795"/>
    </row>
    <row r="4977" spans="4:5" hidden="1">
      <c r="D4977" s="795"/>
      <c r="E4977" s="795"/>
    </row>
    <row r="4978" spans="4:5" hidden="1">
      <c r="D4978" s="795"/>
      <c r="E4978" s="795"/>
    </row>
    <row r="4979" spans="4:5" hidden="1">
      <c r="D4979" s="795"/>
      <c r="E4979" s="795"/>
    </row>
    <row r="4980" spans="4:5" hidden="1">
      <c r="D4980" s="795"/>
      <c r="E4980" s="795"/>
    </row>
    <row r="4981" spans="4:5" hidden="1">
      <c r="D4981" s="795"/>
      <c r="E4981" s="795"/>
    </row>
    <row r="4982" spans="4:5" hidden="1">
      <c r="D4982" s="795"/>
      <c r="E4982" s="795"/>
    </row>
    <row r="4983" spans="4:5" hidden="1">
      <c r="D4983" s="795"/>
      <c r="E4983" s="795"/>
    </row>
    <row r="4984" spans="4:5" hidden="1">
      <c r="D4984" s="795"/>
      <c r="E4984" s="795"/>
    </row>
    <row r="4985" spans="4:5" hidden="1">
      <c r="D4985" s="795"/>
      <c r="E4985" s="795"/>
    </row>
    <row r="4986" spans="4:5" hidden="1">
      <c r="D4986" s="795"/>
      <c r="E4986" s="795"/>
    </row>
    <row r="4987" spans="4:5" hidden="1">
      <c r="D4987" s="795"/>
      <c r="E4987" s="795"/>
    </row>
    <row r="4988" spans="4:5" hidden="1">
      <c r="D4988" s="795"/>
      <c r="E4988" s="795"/>
    </row>
    <row r="4989" spans="4:5" hidden="1">
      <c r="D4989" s="795"/>
      <c r="E4989" s="795"/>
    </row>
    <row r="4990" spans="4:5" hidden="1">
      <c r="D4990" s="795"/>
      <c r="E4990" s="795"/>
    </row>
    <row r="4991" spans="4:5" hidden="1">
      <c r="D4991" s="795"/>
      <c r="E4991" s="795"/>
    </row>
    <row r="4992" spans="4:5" hidden="1">
      <c r="D4992" s="795"/>
      <c r="E4992" s="795"/>
    </row>
    <row r="4993" spans="4:5" hidden="1">
      <c r="D4993" s="795"/>
      <c r="E4993" s="795"/>
    </row>
    <row r="4994" spans="4:5" hidden="1">
      <c r="D4994" s="795"/>
      <c r="E4994" s="795"/>
    </row>
    <row r="4995" spans="4:5" hidden="1">
      <c r="D4995" s="795"/>
      <c r="E4995" s="795"/>
    </row>
    <row r="4996" spans="4:5" hidden="1">
      <c r="D4996" s="795"/>
      <c r="E4996" s="795"/>
    </row>
    <row r="4997" spans="4:5" hidden="1">
      <c r="D4997" s="795"/>
      <c r="E4997" s="795"/>
    </row>
    <row r="4998" spans="4:5" hidden="1">
      <c r="D4998" s="795"/>
      <c r="E4998" s="795"/>
    </row>
    <row r="4999" spans="4:5" hidden="1">
      <c r="D4999" s="795"/>
      <c r="E4999" s="795"/>
    </row>
    <row r="5000" spans="4:5" hidden="1">
      <c r="D5000" s="795"/>
      <c r="E5000" s="795"/>
    </row>
    <row r="5001" spans="4:5" hidden="1">
      <c r="D5001" s="795"/>
      <c r="E5001" s="795"/>
    </row>
    <row r="5002" spans="4:5" hidden="1">
      <c r="D5002" s="795"/>
      <c r="E5002" s="795"/>
    </row>
    <row r="5003" spans="4:5" hidden="1">
      <c r="D5003" s="795"/>
      <c r="E5003" s="795"/>
    </row>
    <row r="5004" spans="4:5" hidden="1">
      <c r="D5004" s="795"/>
      <c r="E5004" s="795"/>
    </row>
    <row r="5005" spans="4:5" hidden="1">
      <c r="D5005" s="795"/>
      <c r="E5005" s="795"/>
    </row>
    <row r="5006" spans="4:5" hidden="1">
      <c r="D5006" s="795"/>
      <c r="E5006" s="795"/>
    </row>
    <row r="5007" spans="4:5" hidden="1">
      <c r="D5007" s="795"/>
      <c r="E5007" s="795"/>
    </row>
    <row r="5008" spans="4:5" hidden="1">
      <c r="D5008" s="795"/>
      <c r="E5008" s="795"/>
    </row>
    <row r="5009" spans="4:5" hidden="1">
      <c r="D5009" s="795"/>
      <c r="E5009" s="795"/>
    </row>
    <row r="5010" spans="4:5" hidden="1">
      <c r="D5010" s="795"/>
      <c r="E5010" s="795"/>
    </row>
    <row r="5011" spans="4:5" hidden="1">
      <c r="D5011" s="795"/>
      <c r="E5011" s="795"/>
    </row>
    <row r="5012" spans="4:5" hidden="1">
      <c r="D5012" s="795"/>
      <c r="E5012" s="795"/>
    </row>
    <row r="5013" spans="4:5" hidden="1">
      <c r="D5013" s="795"/>
      <c r="E5013" s="795"/>
    </row>
    <row r="5014" spans="4:5" hidden="1">
      <c r="D5014" s="795"/>
      <c r="E5014" s="795"/>
    </row>
    <row r="5015" spans="4:5" hidden="1">
      <c r="D5015" s="795"/>
      <c r="E5015" s="795"/>
    </row>
    <row r="5016" spans="4:5" hidden="1">
      <c r="D5016" s="795"/>
      <c r="E5016" s="795"/>
    </row>
    <row r="5017" spans="4:5" hidden="1">
      <c r="D5017" s="795"/>
      <c r="E5017" s="795"/>
    </row>
    <row r="5018" spans="4:5" hidden="1">
      <c r="D5018" s="795"/>
      <c r="E5018" s="795"/>
    </row>
    <row r="5019" spans="4:5" hidden="1">
      <c r="D5019" s="795"/>
      <c r="E5019" s="795"/>
    </row>
    <row r="5020" spans="4:5" hidden="1">
      <c r="D5020" s="795"/>
      <c r="E5020" s="795"/>
    </row>
    <row r="5021" spans="4:5" hidden="1">
      <c r="D5021" s="795"/>
      <c r="E5021" s="795"/>
    </row>
    <row r="5022" spans="4:5" hidden="1">
      <c r="D5022" s="795"/>
      <c r="E5022" s="795"/>
    </row>
    <row r="5023" spans="4:5" hidden="1">
      <c r="D5023" s="795"/>
      <c r="E5023" s="795"/>
    </row>
    <row r="5024" spans="4:5" hidden="1">
      <c r="D5024" s="795"/>
      <c r="E5024" s="795"/>
    </row>
    <row r="5025" spans="4:5" hidden="1">
      <c r="D5025" s="795"/>
      <c r="E5025" s="795"/>
    </row>
    <row r="5026" spans="4:5" hidden="1">
      <c r="D5026" s="795"/>
      <c r="E5026" s="795"/>
    </row>
    <row r="5027" spans="4:5" hidden="1">
      <c r="D5027" s="795"/>
      <c r="E5027" s="795"/>
    </row>
    <row r="5028" spans="4:5" hidden="1">
      <c r="D5028" s="795"/>
      <c r="E5028" s="795"/>
    </row>
    <row r="5029" spans="4:5" hidden="1">
      <c r="D5029" s="795"/>
      <c r="E5029" s="795"/>
    </row>
    <row r="5030" spans="4:5" hidden="1">
      <c r="D5030" s="795"/>
      <c r="E5030" s="795"/>
    </row>
    <row r="5031" spans="4:5" hidden="1">
      <c r="D5031" s="795"/>
      <c r="E5031" s="795"/>
    </row>
    <row r="5032" spans="4:5" hidden="1">
      <c r="D5032" s="795"/>
      <c r="E5032" s="795"/>
    </row>
    <row r="5033" spans="4:5" hidden="1">
      <c r="D5033" s="795"/>
      <c r="E5033" s="795"/>
    </row>
    <row r="5034" spans="4:5" hidden="1">
      <c r="D5034" s="795"/>
      <c r="E5034" s="795"/>
    </row>
    <row r="5035" spans="4:5" hidden="1">
      <c r="D5035" s="795"/>
      <c r="E5035" s="795"/>
    </row>
    <row r="5036" spans="4:5" hidden="1">
      <c r="D5036" s="795"/>
      <c r="E5036" s="795"/>
    </row>
    <row r="5037" spans="4:5" hidden="1">
      <c r="D5037" s="795"/>
      <c r="E5037" s="795"/>
    </row>
    <row r="5038" spans="4:5" hidden="1">
      <c r="D5038" s="795"/>
      <c r="E5038" s="795"/>
    </row>
    <row r="5039" spans="4:5" hidden="1">
      <c r="D5039" s="795"/>
      <c r="E5039" s="795"/>
    </row>
    <row r="5040" spans="4:5" hidden="1">
      <c r="D5040" s="795"/>
      <c r="E5040" s="795"/>
    </row>
    <row r="5041" spans="4:5" hidden="1">
      <c r="D5041" s="795"/>
      <c r="E5041" s="795"/>
    </row>
    <row r="5042" spans="4:5" hidden="1">
      <c r="D5042" s="795"/>
      <c r="E5042" s="795"/>
    </row>
    <row r="5043" spans="4:5" hidden="1">
      <c r="D5043" s="795"/>
      <c r="E5043" s="795"/>
    </row>
    <row r="5044" spans="4:5" hidden="1">
      <c r="D5044" s="795"/>
      <c r="E5044" s="795"/>
    </row>
    <row r="5045" spans="4:5" hidden="1">
      <c r="D5045" s="795"/>
      <c r="E5045" s="795"/>
    </row>
    <row r="5046" spans="4:5" hidden="1">
      <c r="D5046" s="795"/>
      <c r="E5046" s="795"/>
    </row>
    <row r="5047" spans="4:5" hidden="1">
      <c r="D5047" s="795"/>
      <c r="E5047" s="795"/>
    </row>
    <row r="5048" spans="4:5" hidden="1">
      <c r="D5048" s="795"/>
      <c r="E5048" s="795"/>
    </row>
    <row r="5049" spans="4:5" hidden="1">
      <c r="D5049" s="795"/>
      <c r="E5049" s="795"/>
    </row>
    <row r="5050" spans="4:5" hidden="1">
      <c r="D5050" s="795"/>
      <c r="E5050" s="795"/>
    </row>
    <row r="5051" spans="4:5" hidden="1">
      <c r="D5051" s="795"/>
      <c r="E5051" s="795"/>
    </row>
    <row r="5052" spans="4:5" hidden="1">
      <c r="D5052" s="795"/>
      <c r="E5052" s="795"/>
    </row>
    <row r="5053" spans="4:5" hidden="1">
      <c r="D5053" s="795"/>
      <c r="E5053" s="795"/>
    </row>
    <row r="5054" spans="4:5" hidden="1">
      <c r="D5054" s="795"/>
      <c r="E5054" s="795"/>
    </row>
    <row r="5055" spans="4:5" hidden="1">
      <c r="D5055" s="795"/>
      <c r="E5055" s="795"/>
    </row>
    <row r="5056" spans="4:5" hidden="1">
      <c r="D5056" s="795"/>
      <c r="E5056" s="795"/>
    </row>
    <row r="5057" spans="4:5" hidden="1">
      <c r="D5057" s="795"/>
      <c r="E5057" s="795"/>
    </row>
    <row r="5058" spans="4:5" hidden="1">
      <c r="D5058" s="795"/>
      <c r="E5058" s="795"/>
    </row>
    <row r="5059" spans="4:5" hidden="1">
      <c r="D5059" s="795"/>
      <c r="E5059" s="795"/>
    </row>
    <row r="5060" spans="4:5" hidden="1">
      <c r="D5060" s="795"/>
      <c r="E5060" s="795"/>
    </row>
    <row r="5061" spans="4:5" hidden="1">
      <c r="D5061" s="795"/>
      <c r="E5061" s="795"/>
    </row>
    <row r="5062" spans="4:5" hidden="1">
      <c r="D5062" s="795"/>
      <c r="E5062" s="795"/>
    </row>
    <row r="5063" spans="4:5" hidden="1">
      <c r="D5063" s="795"/>
      <c r="E5063" s="795"/>
    </row>
    <row r="5064" spans="4:5" hidden="1">
      <c r="D5064" s="795"/>
      <c r="E5064" s="795"/>
    </row>
    <row r="5065" spans="4:5" hidden="1">
      <c r="D5065" s="795"/>
      <c r="E5065" s="795"/>
    </row>
    <row r="5066" spans="4:5" hidden="1">
      <c r="D5066" s="795"/>
      <c r="E5066" s="795"/>
    </row>
    <row r="5067" spans="4:5" hidden="1">
      <c r="D5067" s="795"/>
      <c r="E5067" s="795"/>
    </row>
    <row r="5068" spans="4:5" hidden="1">
      <c r="D5068" s="795"/>
      <c r="E5068" s="795"/>
    </row>
    <row r="5069" spans="4:5" hidden="1">
      <c r="D5069" s="795"/>
      <c r="E5069" s="795"/>
    </row>
    <row r="5070" spans="4:5" hidden="1">
      <c r="D5070" s="795"/>
      <c r="E5070" s="795"/>
    </row>
    <row r="5071" spans="4:5" hidden="1">
      <c r="D5071" s="795"/>
      <c r="E5071" s="795"/>
    </row>
    <row r="5072" spans="4:5" hidden="1">
      <c r="D5072" s="795"/>
      <c r="E5072" s="795"/>
    </row>
    <row r="5073" spans="4:5" hidden="1">
      <c r="D5073" s="795"/>
      <c r="E5073" s="795"/>
    </row>
    <row r="5074" spans="4:5" hidden="1">
      <c r="D5074" s="795"/>
      <c r="E5074" s="795"/>
    </row>
    <row r="5075" spans="4:5" hidden="1">
      <c r="D5075" s="795"/>
      <c r="E5075" s="795"/>
    </row>
    <row r="5076" spans="4:5" hidden="1">
      <c r="D5076" s="795"/>
      <c r="E5076" s="795"/>
    </row>
    <row r="5077" spans="4:5" hidden="1">
      <c r="D5077" s="795"/>
      <c r="E5077" s="795"/>
    </row>
    <row r="5078" spans="4:5" hidden="1">
      <c r="D5078" s="795"/>
      <c r="E5078" s="795"/>
    </row>
    <row r="5079" spans="4:5" hidden="1">
      <c r="D5079" s="795"/>
      <c r="E5079" s="795"/>
    </row>
    <row r="5080" spans="4:5" hidden="1">
      <c r="D5080" s="795"/>
      <c r="E5080" s="795"/>
    </row>
    <row r="5081" spans="4:5" hidden="1">
      <c r="D5081" s="795"/>
      <c r="E5081" s="795"/>
    </row>
    <row r="5082" spans="4:5" hidden="1">
      <c r="D5082" s="795"/>
      <c r="E5082" s="795"/>
    </row>
    <row r="5083" spans="4:5" hidden="1">
      <c r="D5083" s="795"/>
      <c r="E5083" s="795"/>
    </row>
    <row r="5084" spans="4:5" hidden="1">
      <c r="D5084" s="795"/>
      <c r="E5084" s="795"/>
    </row>
    <row r="5085" spans="4:5" hidden="1">
      <c r="D5085" s="795"/>
      <c r="E5085" s="795"/>
    </row>
    <row r="5086" spans="4:5" hidden="1">
      <c r="D5086" s="795"/>
      <c r="E5086" s="795"/>
    </row>
    <row r="5087" spans="4:5" hidden="1">
      <c r="D5087" s="795"/>
      <c r="E5087" s="795"/>
    </row>
    <row r="5088" spans="4:5" hidden="1">
      <c r="D5088" s="795"/>
      <c r="E5088" s="795"/>
    </row>
    <row r="5089" spans="4:5" hidden="1">
      <c r="D5089" s="795"/>
      <c r="E5089" s="795"/>
    </row>
    <row r="5090" spans="4:5" hidden="1">
      <c r="D5090" s="795"/>
      <c r="E5090" s="795"/>
    </row>
    <row r="5091" spans="4:5" hidden="1">
      <c r="D5091" s="795"/>
      <c r="E5091" s="795"/>
    </row>
    <row r="5092" spans="4:5" hidden="1">
      <c r="D5092" s="795"/>
      <c r="E5092" s="795"/>
    </row>
    <row r="5093" spans="4:5" hidden="1">
      <c r="D5093" s="795"/>
      <c r="E5093" s="795"/>
    </row>
    <row r="5094" spans="4:5" hidden="1">
      <c r="D5094" s="795"/>
      <c r="E5094" s="795"/>
    </row>
    <row r="5095" spans="4:5" hidden="1">
      <c r="D5095" s="795"/>
      <c r="E5095" s="795"/>
    </row>
    <row r="5096" spans="4:5" hidden="1">
      <c r="D5096" s="795"/>
      <c r="E5096" s="795"/>
    </row>
    <row r="5097" spans="4:5" hidden="1">
      <c r="D5097" s="795"/>
      <c r="E5097" s="795"/>
    </row>
    <row r="5098" spans="4:5" hidden="1">
      <c r="D5098" s="795"/>
      <c r="E5098" s="795"/>
    </row>
    <row r="5099" spans="4:5" hidden="1">
      <c r="D5099" s="795"/>
      <c r="E5099" s="795"/>
    </row>
    <row r="5100" spans="4:5" hidden="1">
      <c r="D5100" s="795"/>
      <c r="E5100" s="795"/>
    </row>
    <row r="5101" spans="4:5" hidden="1">
      <c r="D5101" s="795"/>
      <c r="E5101" s="795"/>
    </row>
    <row r="5102" spans="4:5" hidden="1">
      <c r="D5102" s="795"/>
      <c r="E5102" s="795"/>
    </row>
    <row r="5103" spans="4:5" hidden="1">
      <c r="D5103" s="795"/>
      <c r="E5103" s="795"/>
    </row>
    <row r="5104" spans="4:5" hidden="1">
      <c r="D5104" s="795"/>
      <c r="E5104" s="795"/>
    </row>
    <row r="5105" spans="4:5" hidden="1">
      <c r="D5105" s="795"/>
      <c r="E5105" s="795"/>
    </row>
    <row r="5106" spans="4:5" hidden="1">
      <c r="D5106" s="795"/>
      <c r="E5106" s="795"/>
    </row>
    <row r="5107" spans="4:5" hidden="1">
      <c r="D5107" s="795"/>
      <c r="E5107" s="795"/>
    </row>
    <row r="5108" spans="4:5" hidden="1">
      <c r="D5108" s="795"/>
      <c r="E5108" s="795"/>
    </row>
    <row r="5109" spans="4:5" hidden="1">
      <c r="D5109" s="795"/>
      <c r="E5109" s="795"/>
    </row>
    <row r="5110" spans="4:5" hidden="1">
      <c r="D5110" s="795"/>
      <c r="E5110" s="795"/>
    </row>
    <row r="5111" spans="4:5" hidden="1">
      <c r="D5111" s="795"/>
      <c r="E5111" s="795"/>
    </row>
    <row r="5112" spans="4:5" hidden="1">
      <c r="D5112" s="795"/>
      <c r="E5112" s="795"/>
    </row>
    <row r="5113" spans="4:5" hidden="1">
      <c r="D5113" s="795"/>
      <c r="E5113" s="795"/>
    </row>
    <row r="5114" spans="4:5" hidden="1">
      <c r="D5114" s="795"/>
      <c r="E5114" s="795"/>
    </row>
    <row r="5115" spans="4:5" hidden="1">
      <c r="D5115" s="795"/>
      <c r="E5115" s="795"/>
    </row>
    <row r="5116" spans="4:5" hidden="1">
      <c r="D5116" s="795"/>
      <c r="E5116" s="795"/>
    </row>
    <row r="5117" spans="4:5" hidden="1">
      <c r="D5117" s="795"/>
      <c r="E5117" s="795"/>
    </row>
    <row r="5118" spans="4:5" hidden="1">
      <c r="D5118" s="795"/>
      <c r="E5118" s="795"/>
    </row>
    <row r="5119" spans="4:5" hidden="1">
      <c r="D5119" s="795"/>
      <c r="E5119" s="795"/>
    </row>
    <row r="5120" spans="4:5" hidden="1">
      <c r="D5120" s="795"/>
      <c r="E5120" s="795"/>
    </row>
    <row r="5121" spans="4:5" hidden="1">
      <c r="D5121" s="795"/>
      <c r="E5121" s="795"/>
    </row>
    <row r="5122" spans="4:5" hidden="1">
      <c r="D5122" s="795"/>
      <c r="E5122" s="795"/>
    </row>
    <row r="5123" spans="4:5" hidden="1">
      <c r="D5123" s="795"/>
      <c r="E5123" s="795"/>
    </row>
    <row r="5124" spans="4:5" hidden="1">
      <c r="D5124" s="795"/>
      <c r="E5124" s="795"/>
    </row>
    <row r="5125" spans="4:5" hidden="1">
      <c r="D5125" s="795"/>
      <c r="E5125" s="795"/>
    </row>
    <row r="5126" spans="4:5" hidden="1">
      <c r="D5126" s="795"/>
      <c r="E5126" s="795"/>
    </row>
    <row r="5127" spans="4:5" hidden="1">
      <c r="D5127" s="795"/>
      <c r="E5127" s="795"/>
    </row>
    <row r="5128" spans="4:5" hidden="1">
      <c r="D5128" s="795"/>
      <c r="E5128" s="795"/>
    </row>
    <row r="5129" spans="4:5" hidden="1">
      <c r="D5129" s="795"/>
      <c r="E5129" s="795"/>
    </row>
    <row r="5130" spans="4:5" hidden="1">
      <c r="D5130" s="795"/>
      <c r="E5130" s="795"/>
    </row>
    <row r="5131" spans="4:5" hidden="1">
      <c r="D5131" s="795"/>
      <c r="E5131" s="795"/>
    </row>
    <row r="5132" spans="4:5" hidden="1">
      <c r="D5132" s="795"/>
      <c r="E5132" s="795"/>
    </row>
    <row r="5133" spans="4:5" hidden="1">
      <c r="D5133" s="795"/>
      <c r="E5133" s="795"/>
    </row>
    <row r="5134" spans="4:5" hidden="1">
      <c r="D5134" s="795"/>
      <c r="E5134" s="795"/>
    </row>
    <row r="5135" spans="4:5" hidden="1">
      <c r="D5135" s="795"/>
      <c r="E5135" s="795"/>
    </row>
    <row r="5136" spans="4:5" hidden="1">
      <c r="D5136" s="795"/>
      <c r="E5136" s="795"/>
    </row>
    <row r="5137" spans="4:5" hidden="1">
      <c r="D5137" s="795"/>
      <c r="E5137" s="795"/>
    </row>
    <row r="5138" spans="4:5" hidden="1">
      <c r="D5138" s="795"/>
      <c r="E5138" s="795"/>
    </row>
    <row r="5139" spans="4:5" hidden="1">
      <c r="D5139" s="795"/>
      <c r="E5139" s="795"/>
    </row>
    <row r="5140" spans="4:5" hidden="1">
      <c r="D5140" s="795"/>
      <c r="E5140" s="795"/>
    </row>
    <row r="5141" spans="4:5" hidden="1">
      <c r="D5141" s="795"/>
      <c r="E5141" s="795"/>
    </row>
    <row r="5142" spans="4:5" hidden="1">
      <c r="D5142" s="795"/>
      <c r="E5142" s="795"/>
    </row>
    <row r="5143" spans="4:5" hidden="1">
      <c r="D5143" s="795"/>
      <c r="E5143" s="795"/>
    </row>
    <row r="5144" spans="4:5" hidden="1">
      <c r="D5144" s="795"/>
      <c r="E5144" s="795"/>
    </row>
    <row r="5145" spans="4:5" hidden="1">
      <c r="D5145" s="795"/>
      <c r="E5145" s="795"/>
    </row>
    <row r="5146" spans="4:5" hidden="1">
      <c r="D5146" s="795"/>
      <c r="E5146" s="795"/>
    </row>
    <row r="5147" spans="4:5" hidden="1">
      <c r="D5147" s="795"/>
      <c r="E5147" s="795"/>
    </row>
    <row r="5148" spans="4:5" hidden="1">
      <c r="D5148" s="795"/>
      <c r="E5148" s="795"/>
    </row>
    <row r="5149" spans="4:5" hidden="1">
      <c r="D5149" s="795"/>
      <c r="E5149" s="795"/>
    </row>
    <row r="5150" spans="4:5" hidden="1">
      <c r="D5150" s="795"/>
      <c r="E5150" s="795"/>
    </row>
    <row r="5151" spans="4:5" hidden="1">
      <c r="D5151" s="795"/>
      <c r="E5151" s="795"/>
    </row>
    <row r="5152" spans="4:5" hidden="1">
      <c r="D5152" s="795"/>
      <c r="E5152" s="795"/>
    </row>
    <row r="5153" spans="4:5" hidden="1">
      <c r="D5153" s="795"/>
      <c r="E5153" s="795"/>
    </row>
    <row r="5154" spans="4:5" hidden="1">
      <c r="D5154" s="795"/>
      <c r="E5154" s="795"/>
    </row>
    <row r="5155" spans="4:5" hidden="1">
      <c r="D5155" s="795"/>
      <c r="E5155" s="795"/>
    </row>
    <row r="5156" spans="4:5" hidden="1">
      <c r="D5156" s="795"/>
      <c r="E5156" s="795"/>
    </row>
    <row r="5157" spans="4:5" hidden="1">
      <c r="D5157" s="795"/>
      <c r="E5157" s="795"/>
    </row>
    <row r="5158" spans="4:5" hidden="1">
      <c r="D5158" s="795"/>
      <c r="E5158" s="795"/>
    </row>
    <row r="5159" spans="4:5" hidden="1">
      <c r="D5159" s="795"/>
      <c r="E5159" s="795"/>
    </row>
    <row r="5160" spans="4:5" hidden="1">
      <c r="D5160" s="795"/>
      <c r="E5160" s="795"/>
    </row>
    <row r="5161" spans="4:5" hidden="1">
      <c r="D5161" s="795"/>
      <c r="E5161" s="795"/>
    </row>
    <row r="5162" spans="4:5" hidden="1">
      <c r="D5162" s="795"/>
      <c r="E5162" s="795"/>
    </row>
    <row r="5163" spans="4:5" hidden="1">
      <c r="D5163" s="795"/>
      <c r="E5163" s="795"/>
    </row>
    <row r="5164" spans="4:5" hidden="1">
      <c r="D5164" s="795"/>
      <c r="E5164" s="795"/>
    </row>
    <row r="5165" spans="4:5" hidden="1">
      <c r="D5165" s="795"/>
      <c r="E5165" s="795"/>
    </row>
    <row r="5166" spans="4:5" hidden="1">
      <c r="D5166" s="795"/>
      <c r="E5166" s="795"/>
    </row>
    <row r="5167" spans="4:5" hidden="1">
      <c r="D5167" s="795"/>
      <c r="E5167" s="795"/>
    </row>
    <row r="5168" spans="4:5" hidden="1">
      <c r="D5168" s="795"/>
      <c r="E5168" s="795"/>
    </row>
    <row r="5169" spans="4:5" hidden="1">
      <c r="D5169" s="795"/>
      <c r="E5169" s="795"/>
    </row>
    <row r="5170" spans="4:5" hidden="1">
      <c r="D5170" s="795"/>
      <c r="E5170" s="795"/>
    </row>
    <row r="5171" spans="4:5" hidden="1">
      <c r="D5171" s="795"/>
      <c r="E5171" s="795"/>
    </row>
    <row r="5172" spans="4:5" hidden="1">
      <c r="D5172" s="795"/>
      <c r="E5172" s="795"/>
    </row>
    <row r="5173" spans="4:5" hidden="1">
      <c r="D5173" s="795"/>
      <c r="E5173" s="795"/>
    </row>
    <row r="5174" spans="4:5" hidden="1">
      <c r="D5174" s="795"/>
      <c r="E5174" s="795"/>
    </row>
    <row r="5175" spans="4:5" hidden="1">
      <c r="D5175" s="795"/>
      <c r="E5175" s="795"/>
    </row>
    <row r="5176" spans="4:5" hidden="1">
      <c r="D5176" s="795"/>
      <c r="E5176" s="795"/>
    </row>
    <row r="5177" spans="4:5" hidden="1">
      <c r="D5177" s="795"/>
      <c r="E5177" s="795"/>
    </row>
    <row r="5178" spans="4:5" hidden="1">
      <c r="D5178" s="795"/>
      <c r="E5178" s="795"/>
    </row>
    <row r="5179" spans="4:5" hidden="1">
      <c r="D5179" s="795"/>
      <c r="E5179" s="795"/>
    </row>
    <row r="5180" spans="4:5" hidden="1">
      <c r="D5180" s="795"/>
      <c r="E5180" s="795"/>
    </row>
    <row r="5181" spans="4:5" hidden="1">
      <c r="D5181" s="795"/>
      <c r="E5181" s="795"/>
    </row>
    <row r="5182" spans="4:5" hidden="1">
      <c r="D5182" s="795"/>
      <c r="E5182" s="795"/>
    </row>
    <row r="5183" spans="4:5" hidden="1">
      <c r="D5183" s="795"/>
      <c r="E5183" s="795"/>
    </row>
    <row r="5184" spans="4:5" hidden="1">
      <c r="D5184" s="795"/>
      <c r="E5184" s="795"/>
    </row>
    <row r="5185" spans="4:5" hidden="1">
      <c r="D5185" s="795"/>
      <c r="E5185" s="795"/>
    </row>
    <row r="5186" spans="4:5" hidden="1">
      <c r="D5186" s="795"/>
      <c r="E5186" s="795"/>
    </row>
    <row r="5187" spans="4:5" hidden="1">
      <c r="D5187" s="795"/>
      <c r="E5187" s="795"/>
    </row>
    <row r="5188" spans="4:5" hidden="1">
      <c r="D5188" s="795"/>
      <c r="E5188" s="795"/>
    </row>
    <row r="5189" spans="4:5" hidden="1">
      <c r="D5189" s="795"/>
      <c r="E5189" s="795"/>
    </row>
    <row r="5190" spans="4:5" hidden="1">
      <c r="D5190" s="795"/>
      <c r="E5190" s="795"/>
    </row>
    <row r="5191" spans="4:5" hidden="1">
      <c r="D5191" s="795"/>
      <c r="E5191" s="795"/>
    </row>
    <row r="5192" spans="4:5" hidden="1">
      <c r="D5192" s="795"/>
      <c r="E5192" s="795"/>
    </row>
    <row r="5193" spans="4:5" hidden="1">
      <c r="D5193" s="795"/>
      <c r="E5193" s="795"/>
    </row>
    <row r="5194" spans="4:5" hidden="1">
      <c r="D5194" s="795"/>
      <c r="E5194" s="795"/>
    </row>
    <row r="5195" spans="4:5" hidden="1">
      <c r="D5195" s="795"/>
      <c r="E5195" s="795"/>
    </row>
    <row r="5196" spans="4:5" hidden="1">
      <c r="D5196" s="795"/>
      <c r="E5196" s="795"/>
    </row>
    <row r="5197" spans="4:5" hidden="1">
      <c r="D5197" s="795"/>
      <c r="E5197" s="795"/>
    </row>
    <row r="5198" spans="4:5" hidden="1">
      <c r="D5198" s="795"/>
      <c r="E5198" s="795"/>
    </row>
    <row r="5199" spans="4:5" hidden="1">
      <c r="D5199" s="795"/>
      <c r="E5199" s="795"/>
    </row>
    <row r="5200" spans="4:5" hidden="1">
      <c r="D5200" s="795"/>
      <c r="E5200" s="795"/>
    </row>
    <row r="5201" spans="4:5" hidden="1">
      <c r="D5201" s="795"/>
      <c r="E5201" s="795"/>
    </row>
    <row r="5202" spans="4:5" hidden="1">
      <c r="D5202" s="795"/>
      <c r="E5202" s="795"/>
    </row>
    <row r="5203" spans="4:5" hidden="1">
      <c r="D5203" s="795"/>
      <c r="E5203" s="795"/>
    </row>
    <row r="5204" spans="4:5" hidden="1">
      <c r="D5204" s="795"/>
      <c r="E5204" s="795"/>
    </row>
    <row r="5205" spans="4:5" hidden="1">
      <c r="D5205" s="795"/>
      <c r="E5205" s="795"/>
    </row>
    <row r="5206" spans="4:5" hidden="1">
      <c r="D5206" s="795"/>
      <c r="E5206" s="795"/>
    </row>
    <row r="5207" spans="4:5" hidden="1">
      <c r="D5207" s="795"/>
      <c r="E5207" s="795"/>
    </row>
    <row r="5208" spans="4:5" hidden="1">
      <c r="D5208" s="795"/>
      <c r="E5208" s="795"/>
    </row>
    <row r="5209" spans="4:5" hidden="1">
      <c r="D5209" s="795"/>
      <c r="E5209" s="795"/>
    </row>
    <row r="5210" spans="4:5" hidden="1">
      <c r="D5210" s="795"/>
      <c r="E5210" s="795"/>
    </row>
    <row r="5211" spans="4:5" hidden="1">
      <c r="D5211" s="795"/>
      <c r="E5211" s="795"/>
    </row>
    <row r="5212" spans="4:5" hidden="1">
      <c r="D5212" s="795"/>
      <c r="E5212" s="795"/>
    </row>
    <row r="5213" spans="4:5" hidden="1">
      <c r="D5213" s="795"/>
      <c r="E5213" s="795"/>
    </row>
    <row r="5214" spans="4:5" hidden="1">
      <c r="D5214" s="795"/>
      <c r="E5214" s="795"/>
    </row>
    <row r="5215" spans="4:5" hidden="1">
      <c r="D5215" s="795"/>
      <c r="E5215" s="795"/>
    </row>
    <row r="5216" spans="4:5" hidden="1">
      <c r="D5216" s="795"/>
      <c r="E5216" s="795"/>
    </row>
    <row r="5217" spans="4:5" hidden="1">
      <c r="D5217" s="795"/>
      <c r="E5217" s="795"/>
    </row>
    <row r="5218" spans="4:5" hidden="1">
      <c r="D5218" s="795"/>
      <c r="E5218" s="795"/>
    </row>
    <row r="5219" spans="4:5" hidden="1">
      <c r="D5219" s="795"/>
      <c r="E5219" s="795"/>
    </row>
    <row r="5220" spans="4:5" hidden="1">
      <c r="D5220" s="795"/>
      <c r="E5220" s="795"/>
    </row>
    <row r="5221" spans="4:5" hidden="1">
      <c r="D5221" s="795"/>
      <c r="E5221" s="795"/>
    </row>
    <row r="5222" spans="4:5" hidden="1">
      <c r="D5222" s="795"/>
      <c r="E5222" s="795"/>
    </row>
    <row r="5223" spans="4:5" hidden="1">
      <c r="D5223" s="795"/>
      <c r="E5223" s="795"/>
    </row>
    <row r="5224" spans="4:5" hidden="1">
      <c r="D5224" s="795"/>
      <c r="E5224" s="795"/>
    </row>
    <row r="5225" spans="4:5" hidden="1">
      <c r="D5225" s="795"/>
      <c r="E5225" s="795"/>
    </row>
    <row r="5226" spans="4:5" hidden="1">
      <c r="D5226" s="795"/>
      <c r="E5226" s="795"/>
    </row>
    <row r="5227" spans="4:5" hidden="1">
      <c r="D5227" s="795"/>
      <c r="E5227" s="795"/>
    </row>
    <row r="5228" spans="4:5" hidden="1">
      <c r="D5228" s="795"/>
      <c r="E5228" s="795"/>
    </row>
    <row r="5229" spans="4:5" hidden="1">
      <c r="D5229" s="795"/>
      <c r="E5229" s="795"/>
    </row>
    <row r="5230" spans="4:5" hidden="1">
      <c r="D5230" s="795"/>
      <c r="E5230" s="795"/>
    </row>
    <row r="5231" spans="4:5" hidden="1">
      <c r="D5231" s="795"/>
      <c r="E5231" s="795"/>
    </row>
    <row r="5232" spans="4:5" hidden="1">
      <c r="D5232" s="795"/>
      <c r="E5232" s="795"/>
    </row>
    <row r="5233" spans="4:5" hidden="1">
      <c r="D5233" s="795"/>
      <c r="E5233" s="795"/>
    </row>
    <row r="5234" spans="4:5" hidden="1">
      <c r="D5234" s="795"/>
      <c r="E5234" s="795"/>
    </row>
    <row r="5235" spans="4:5" hidden="1">
      <c r="D5235" s="795"/>
      <c r="E5235" s="795"/>
    </row>
    <row r="5236" spans="4:5" hidden="1">
      <c r="D5236" s="795"/>
      <c r="E5236" s="795"/>
    </row>
    <row r="5237" spans="4:5" hidden="1">
      <c r="D5237" s="795"/>
      <c r="E5237" s="795"/>
    </row>
    <row r="5238" spans="4:5" hidden="1">
      <c r="D5238" s="795"/>
      <c r="E5238" s="795"/>
    </row>
    <row r="5239" spans="4:5" hidden="1">
      <c r="D5239" s="795"/>
      <c r="E5239" s="795"/>
    </row>
    <row r="5240" spans="4:5" hidden="1">
      <c r="D5240" s="795"/>
      <c r="E5240" s="795"/>
    </row>
    <row r="5241" spans="4:5" hidden="1">
      <c r="D5241" s="795"/>
      <c r="E5241" s="795"/>
    </row>
    <row r="5242" spans="4:5" hidden="1">
      <c r="D5242" s="795"/>
      <c r="E5242" s="795"/>
    </row>
    <row r="5243" spans="4:5" hidden="1">
      <c r="D5243" s="795"/>
      <c r="E5243" s="795"/>
    </row>
    <row r="5244" spans="4:5" hidden="1">
      <c r="D5244" s="795"/>
      <c r="E5244" s="795"/>
    </row>
    <row r="5245" spans="4:5" hidden="1">
      <c r="D5245" s="795"/>
      <c r="E5245" s="795"/>
    </row>
    <row r="5246" spans="4:5" hidden="1">
      <c r="D5246" s="795"/>
      <c r="E5246" s="795"/>
    </row>
    <row r="5247" spans="4:5" hidden="1">
      <c r="D5247" s="795"/>
      <c r="E5247" s="795"/>
    </row>
    <row r="5248" spans="4:5" hidden="1">
      <c r="D5248" s="795"/>
      <c r="E5248" s="795"/>
    </row>
    <row r="5249" spans="4:5" hidden="1">
      <c r="D5249" s="795"/>
      <c r="E5249" s="795"/>
    </row>
    <row r="5250" spans="4:5" hidden="1">
      <c r="D5250" s="795"/>
      <c r="E5250" s="795"/>
    </row>
    <row r="5251" spans="4:5" hidden="1">
      <c r="D5251" s="795"/>
      <c r="E5251" s="795"/>
    </row>
    <row r="5252" spans="4:5" hidden="1">
      <c r="D5252" s="795"/>
      <c r="E5252" s="795"/>
    </row>
    <row r="5253" spans="4:5" hidden="1">
      <c r="D5253" s="795"/>
      <c r="E5253" s="795"/>
    </row>
    <row r="5254" spans="4:5" hidden="1">
      <c r="D5254" s="795"/>
      <c r="E5254" s="795"/>
    </row>
    <row r="5255" spans="4:5" hidden="1">
      <c r="D5255" s="795"/>
      <c r="E5255" s="795"/>
    </row>
    <row r="5256" spans="4:5" hidden="1">
      <c r="D5256" s="795"/>
      <c r="E5256" s="795"/>
    </row>
    <row r="5257" spans="4:5" hidden="1">
      <c r="D5257" s="795"/>
      <c r="E5257" s="795"/>
    </row>
    <row r="5258" spans="4:5" hidden="1">
      <c r="D5258" s="795"/>
      <c r="E5258" s="795"/>
    </row>
    <row r="5259" spans="4:5" hidden="1">
      <c r="D5259" s="795"/>
      <c r="E5259" s="795"/>
    </row>
    <row r="5260" spans="4:5" hidden="1">
      <c r="D5260" s="795"/>
      <c r="E5260" s="795"/>
    </row>
    <row r="5261" spans="4:5" hidden="1">
      <c r="D5261" s="795"/>
      <c r="E5261" s="795"/>
    </row>
    <row r="5262" spans="4:5" hidden="1">
      <c r="D5262" s="795"/>
      <c r="E5262" s="795"/>
    </row>
    <row r="5263" spans="4:5" hidden="1">
      <c r="D5263" s="795"/>
      <c r="E5263" s="795"/>
    </row>
    <row r="5264" spans="4:5" hidden="1">
      <c r="D5264" s="795"/>
      <c r="E5264" s="795"/>
    </row>
    <row r="5265" spans="4:5" hidden="1">
      <c r="D5265" s="795"/>
      <c r="E5265" s="795"/>
    </row>
    <row r="5266" spans="4:5" hidden="1">
      <c r="D5266" s="795"/>
      <c r="E5266" s="795"/>
    </row>
    <row r="5267" spans="4:5" hidden="1">
      <c r="D5267" s="795"/>
      <c r="E5267" s="795"/>
    </row>
    <row r="5268" spans="4:5" hidden="1">
      <c r="D5268" s="795"/>
      <c r="E5268" s="795"/>
    </row>
    <row r="5269" spans="4:5" hidden="1">
      <c r="D5269" s="795"/>
      <c r="E5269" s="795"/>
    </row>
    <row r="5270" spans="4:5" hidden="1">
      <c r="D5270" s="795"/>
      <c r="E5270" s="795"/>
    </row>
    <row r="5271" spans="4:5" hidden="1">
      <c r="D5271" s="795"/>
      <c r="E5271" s="795"/>
    </row>
    <row r="5272" spans="4:5" hidden="1">
      <c r="D5272" s="795"/>
      <c r="E5272" s="795"/>
    </row>
    <row r="5273" spans="4:5" hidden="1">
      <c r="D5273" s="795"/>
      <c r="E5273" s="795"/>
    </row>
    <row r="5274" spans="4:5" hidden="1">
      <c r="D5274" s="795"/>
      <c r="E5274" s="795"/>
    </row>
    <row r="5275" spans="4:5" hidden="1">
      <c r="D5275" s="795"/>
      <c r="E5275" s="795"/>
    </row>
    <row r="5276" spans="4:5" hidden="1">
      <c r="D5276" s="795"/>
      <c r="E5276" s="795"/>
    </row>
    <row r="5277" spans="4:5" hidden="1">
      <c r="D5277" s="795"/>
      <c r="E5277" s="795"/>
    </row>
    <row r="5278" spans="4:5" hidden="1">
      <c r="D5278" s="795"/>
      <c r="E5278" s="795"/>
    </row>
    <row r="5279" spans="4:5" hidden="1">
      <c r="D5279" s="795"/>
      <c r="E5279" s="795"/>
    </row>
    <row r="5280" spans="4:5" hidden="1">
      <c r="D5280" s="795"/>
      <c r="E5280" s="795"/>
    </row>
    <row r="5281" spans="4:5" hidden="1">
      <c r="D5281" s="795"/>
      <c r="E5281" s="795"/>
    </row>
    <row r="5282" spans="4:5" hidden="1">
      <c r="D5282" s="795"/>
      <c r="E5282" s="795"/>
    </row>
    <row r="5283" spans="4:5" hidden="1">
      <c r="D5283" s="795"/>
      <c r="E5283" s="795"/>
    </row>
    <row r="5284" spans="4:5" hidden="1">
      <c r="D5284" s="795"/>
      <c r="E5284" s="795"/>
    </row>
    <row r="5285" spans="4:5" hidden="1">
      <c r="D5285" s="795"/>
      <c r="E5285" s="795"/>
    </row>
    <row r="5286" spans="4:5" hidden="1">
      <c r="D5286" s="795"/>
      <c r="E5286" s="795"/>
    </row>
    <row r="5287" spans="4:5" hidden="1">
      <c r="D5287" s="795"/>
      <c r="E5287" s="795"/>
    </row>
    <row r="5288" spans="4:5" hidden="1">
      <c r="D5288" s="795"/>
      <c r="E5288" s="795"/>
    </row>
    <row r="5289" spans="4:5" hidden="1">
      <c r="D5289" s="795"/>
      <c r="E5289" s="795"/>
    </row>
    <row r="5290" spans="4:5" hidden="1">
      <c r="D5290" s="795"/>
      <c r="E5290" s="795"/>
    </row>
    <row r="5291" spans="4:5" hidden="1">
      <c r="D5291" s="795"/>
      <c r="E5291" s="795"/>
    </row>
    <row r="5292" spans="4:5" hidden="1">
      <c r="D5292" s="795"/>
      <c r="E5292" s="795"/>
    </row>
    <row r="5293" spans="4:5" hidden="1">
      <c r="D5293" s="795"/>
      <c r="E5293" s="795"/>
    </row>
    <row r="5294" spans="4:5" hidden="1">
      <c r="D5294" s="795"/>
      <c r="E5294" s="795"/>
    </row>
    <row r="5295" spans="4:5" hidden="1">
      <c r="D5295" s="795"/>
      <c r="E5295" s="795"/>
    </row>
    <row r="5296" spans="4:5" hidden="1">
      <c r="D5296" s="795"/>
      <c r="E5296" s="795"/>
    </row>
    <row r="5297" spans="4:5" hidden="1">
      <c r="D5297" s="795"/>
      <c r="E5297" s="795"/>
    </row>
    <row r="5298" spans="4:5" hidden="1">
      <c r="D5298" s="795"/>
      <c r="E5298" s="795"/>
    </row>
    <row r="5299" spans="4:5" hidden="1">
      <c r="D5299" s="795"/>
      <c r="E5299" s="795"/>
    </row>
    <row r="5300" spans="4:5" hidden="1">
      <c r="D5300" s="795"/>
      <c r="E5300" s="795"/>
    </row>
    <row r="5301" spans="4:5" hidden="1">
      <c r="D5301" s="795"/>
      <c r="E5301" s="795"/>
    </row>
    <row r="5302" spans="4:5" hidden="1">
      <c r="D5302" s="795"/>
      <c r="E5302" s="795"/>
    </row>
    <row r="5303" spans="4:5" hidden="1">
      <c r="D5303" s="795"/>
      <c r="E5303" s="795"/>
    </row>
    <row r="5304" spans="4:5" hidden="1">
      <c r="D5304" s="795"/>
      <c r="E5304" s="795"/>
    </row>
    <row r="5305" spans="4:5" hidden="1">
      <c r="D5305" s="795"/>
      <c r="E5305" s="795"/>
    </row>
    <row r="5306" spans="4:5" hidden="1">
      <c r="D5306" s="795"/>
      <c r="E5306" s="795"/>
    </row>
    <row r="5307" spans="4:5" hidden="1">
      <c r="D5307" s="795"/>
      <c r="E5307" s="795"/>
    </row>
    <row r="5308" spans="4:5" hidden="1">
      <c r="D5308" s="795"/>
      <c r="E5308" s="795"/>
    </row>
    <row r="5309" spans="4:5" hidden="1">
      <c r="D5309" s="795"/>
      <c r="E5309" s="795"/>
    </row>
    <row r="5310" spans="4:5" hidden="1">
      <c r="D5310" s="795"/>
      <c r="E5310" s="795"/>
    </row>
    <row r="5311" spans="4:5" hidden="1">
      <c r="D5311" s="795"/>
      <c r="E5311" s="795"/>
    </row>
    <row r="5312" spans="4:5" hidden="1">
      <c r="D5312" s="795"/>
      <c r="E5312" s="795"/>
    </row>
    <row r="5313" spans="4:5" hidden="1">
      <c r="D5313" s="795"/>
      <c r="E5313" s="795"/>
    </row>
    <row r="5314" spans="4:5" hidden="1">
      <c r="D5314" s="795"/>
      <c r="E5314" s="795"/>
    </row>
    <row r="5315" spans="4:5" hidden="1">
      <c r="D5315" s="795"/>
      <c r="E5315" s="795"/>
    </row>
    <row r="5316" spans="4:5" hidden="1">
      <c r="D5316" s="795"/>
      <c r="E5316" s="795"/>
    </row>
    <row r="5317" spans="4:5" hidden="1">
      <c r="D5317" s="795"/>
      <c r="E5317" s="795"/>
    </row>
    <row r="5318" spans="4:5" hidden="1">
      <c r="D5318" s="795"/>
      <c r="E5318" s="795"/>
    </row>
    <row r="5319" spans="4:5" hidden="1">
      <c r="D5319" s="795"/>
      <c r="E5319" s="795"/>
    </row>
    <row r="5320" spans="4:5" hidden="1">
      <c r="D5320" s="795"/>
      <c r="E5320" s="795"/>
    </row>
    <row r="5321" spans="4:5" hidden="1">
      <c r="D5321" s="795"/>
      <c r="E5321" s="795"/>
    </row>
    <row r="5322" spans="4:5" hidden="1">
      <c r="D5322" s="795"/>
      <c r="E5322" s="795"/>
    </row>
    <row r="5323" spans="4:5" hidden="1">
      <c r="D5323" s="795"/>
      <c r="E5323" s="795"/>
    </row>
    <row r="5324" spans="4:5" hidden="1">
      <c r="D5324" s="795"/>
      <c r="E5324" s="795"/>
    </row>
    <row r="5325" spans="4:5" hidden="1">
      <c r="D5325" s="795"/>
      <c r="E5325" s="795"/>
    </row>
    <row r="5326" spans="4:5" hidden="1">
      <c r="D5326" s="795"/>
      <c r="E5326" s="795"/>
    </row>
    <row r="5327" spans="4:5" hidden="1">
      <c r="D5327" s="795"/>
      <c r="E5327" s="795"/>
    </row>
    <row r="5328" spans="4:5" hidden="1">
      <c r="D5328" s="795"/>
      <c r="E5328" s="795"/>
    </row>
    <row r="5329" spans="4:5" hidden="1">
      <c r="D5329" s="795"/>
      <c r="E5329" s="795"/>
    </row>
    <row r="5330" spans="4:5" hidden="1">
      <c r="D5330" s="795"/>
      <c r="E5330" s="795"/>
    </row>
    <row r="5331" spans="4:5" hidden="1">
      <c r="D5331" s="795"/>
      <c r="E5331" s="795"/>
    </row>
    <row r="5332" spans="4:5" hidden="1">
      <c r="D5332" s="795"/>
      <c r="E5332" s="795"/>
    </row>
    <row r="5333" spans="4:5" hidden="1">
      <c r="D5333" s="795"/>
      <c r="E5333" s="795"/>
    </row>
    <row r="5334" spans="4:5" hidden="1">
      <c r="D5334" s="795"/>
      <c r="E5334" s="795"/>
    </row>
    <row r="5335" spans="4:5" hidden="1">
      <c r="D5335" s="795"/>
      <c r="E5335" s="795"/>
    </row>
    <row r="5336" spans="4:5" hidden="1">
      <c r="D5336" s="795"/>
      <c r="E5336" s="795"/>
    </row>
    <row r="5337" spans="4:5" hidden="1">
      <c r="D5337" s="795"/>
      <c r="E5337" s="795"/>
    </row>
    <row r="5338" spans="4:5" hidden="1">
      <c r="D5338" s="795"/>
      <c r="E5338" s="795"/>
    </row>
    <row r="5339" spans="4:5" hidden="1">
      <c r="D5339" s="795"/>
      <c r="E5339" s="795"/>
    </row>
    <row r="5340" spans="4:5" hidden="1">
      <c r="D5340" s="795"/>
      <c r="E5340" s="795"/>
    </row>
    <row r="5341" spans="4:5" hidden="1">
      <c r="D5341" s="795"/>
      <c r="E5341" s="795"/>
    </row>
    <row r="5342" spans="4:5" hidden="1">
      <c r="D5342" s="795"/>
      <c r="E5342" s="795"/>
    </row>
    <row r="5343" spans="4:5" hidden="1">
      <c r="D5343" s="795"/>
      <c r="E5343" s="795"/>
    </row>
    <row r="5344" spans="4:5" hidden="1">
      <c r="D5344" s="795"/>
      <c r="E5344" s="795"/>
    </row>
    <row r="5345" spans="4:5" hidden="1">
      <c r="D5345" s="795"/>
      <c r="E5345" s="795"/>
    </row>
    <row r="5346" spans="4:5" hidden="1">
      <c r="D5346" s="795"/>
      <c r="E5346" s="795"/>
    </row>
    <row r="5347" spans="4:5" hidden="1">
      <c r="D5347" s="795"/>
      <c r="E5347" s="795"/>
    </row>
    <row r="5348" spans="4:5" hidden="1">
      <c r="D5348" s="795"/>
      <c r="E5348" s="795"/>
    </row>
    <row r="5349" spans="4:5" hidden="1">
      <c r="D5349" s="795"/>
      <c r="E5349" s="795"/>
    </row>
    <row r="5350" spans="4:5" hidden="1">
      <c r="D5350" s="795"/>
      <c r="E5350" s="795"/>
    </row>
    <row r="5351" spans="4:5" hidden="1">
      <c r="D5351" s="795"/>
      <c r="E5351" s="795"/>
    </row>
    <row r="5352" spans="4:5" hidden="1">
      <c r="D5352" s="795"/>
      <c r="E5352" s="795"/>
    </row>
    <row r="5353" spans="4:5" hidden="1">
      <c r="D5353" s="795"/>
      <c r="E5353" s="795"/>
    </row>
    <row r="5354" spans="4:5" hidden="1">
      <c r="D5354" s="795"/>
      <c r="E5354" s="795"/>
    </row>
    <row r="5355" spans="4:5" hidden="1">
      <c r="D5355" s="795"/>
      <c r="E5355" s="795"/>
    </row>
    <row r="5356" spans="4:5" hidden="1">
      <c r="D5356" s="795"/>
      <c r="E5356" s="795"/>
    </row>
    <row r="5357" spans="4:5" hidden="1">
      <c r="D5357" s="795"/>
      <c r="E5357" s="795"/>
    </row>
    <row r="5358" spans="4:5" hidden="1">
      <c r="D5358" s="795"/>
      <c r="E5358" s="795"/>
    </row>
    <row r="5359" spans="4:5" hidden="1">
      <c r="D5359" s="795"/>
      <c r="E5359" s="795"/>
    </row>
    <row r="5360" spans="4:5" hidden="1">
      <c r="D5360" s="795"/>
      <c r="E5360" s="795"/>
    </row>
    <row r="5361" spans="4:5" hidden="1">
      <c r="D5361" s="795"/>
      <c r="E5361" s="795"/>
    </row>
    <row r="5362" spans="4:5" hidden="1">
      <c r="D5362" s="795"/>
      <c r="E5362" s="795"/>
    </row>
    <row r="5363" spans="4:5" hidden="1">
      <c r="D5363" s="795"/>
      <c r="E5363" s="795"/>
    </row>
    <row r="5364" spans="4:5" hidden="1">
      <c r="D5364" s="795"/>
      <c r="E5364" s="795"/>
    </row>
    <row r="5365" spans="4:5" hidden="1">
      <c r="D5365" s="795"/>
      <c r="E5365" s="795"/>
    </row>
    <row r="5366" spans="4:5" hidden="1">
      <c r="D5366" s="795"/>
      <c r="E5366" s="795"/>
    </row>
    <row r="5367" spans="4:5" hidden="1">
      <c r="D5367" s="795"/>
      <c r="E5367" s="795"/>
    </row>
    <row r="5368" spans="4:5" hidden="1">
      <c r="D5368" s="795"/>
      <c r="E5368" s="795"/>
    </row>
    <row r="5369" spans="4:5" hidden="1">
      <c r="D5369" s="795"/>
      <c r="E5369" s="795"/>
    </row>
    <row r="5370" spans="4:5" hidden="1">
      <c r="D5370" s="795"/>
      <c r="E5370" s="795"/>
    </row>
    <row r="5371" spans="4:5" hidden="1">
      <c r="D5371" s="795"/>
      <c r="E5371" s="795"/>
    </row>
    <row r="5372" spans="4:5" hidden="1">
      <c r="D5372" s="795"/>
      <c r="E5372" s="795"/>
    </row>
    <row r="5373" spans="4:5" hidden="1">
      <c r="D5373" s="795"/>
      <c r="E5373" s="795"/>
    </row>
    <row r="5374" spans="4:5" hidden="1">
      <c r="D5374" s="795"/>
      <c r="E5374" s="795"/>
    </row>
    <row r="5375" spans="4:5" hidden="1">
      <c r="D5375" s="795"/>
      <c r="E5375" s="795"/>
    </row>
    <row r="5376" spans="4:5" hidden="1">
      <c r="D5376" s="795"/>
      <c r="E5376" s="795"/>
    </row>
    <row r="5377" spans="4:5" hidden="1">
      <c r="D5377" s="795"/>
      <c r="E5377" s="795"/>
    </row>
    <row r="5378" spans="4:5" hidden="1">
      <c r="D5378" s="795"/>
      <c r="E5378" s="795"/>
    </row>
    <row r="5379" spans="4:5" hidden="1">
      <c r="D5379" s="795"/>
      <c r="E5379" s="795"/>
    </row>
    <row r="5380" spans="4:5" hidden="1">
      <c r="D5380" s="795"/>
      <c r="E5380" s="795"/>
    </row>
    <row r="5381" spans="4:5" hidden="1">
      <c r="D5381" s="795"/>
      <c r="E5381" s="795"/>
    </row>
    <row r="5382" spans="4:5" hidden="1">
      <c r="D5382" s="795"/>
      <c r="E5382" s="795"/>
    </row>
    <row r="5383" spans="4:5" hidden="1">
      <c r="D5383" s="795"/>
      <c r="E5383" s="795"/>
    </row>
    <row r="5384" spans="4:5" hidden="1">
      <c r="D5384" s="795"/>
      <c r="E5384" s="795"/>
    </row>
    <row r="5385" spans="4:5" hidden="1">
      <c r="D5385" s="795"/>
      <c r="E5385" s="795"/>
    </row>
    <row r="5386" spans="4:5" hidden="1">
      <c r="D5386" s="795"/>
      <c r="E5386" s="795"/>
    </row>
    <row r="5387" spans="4:5" hidden="1">
      <c r="D5387" s="795"/>
      <c r="E5387" s="795"/>
    </row>
    <row r="5388" spans="4:5" hidden="1">
      <c r="D5388" s="795"/>
      <c r="E5388" s="795"/>
    </row>
    <row r="5389" spans="4:5" hidden="1">
      <c r="D5389" s="795"/>
      <c r="E5389" s="795"/>
    </row>
    <row r="5390" spans="4:5" hidden="1">
      <c r="D5390" s="795"/>
      <c r="E5390" s="795"/>
    </row>
    <row r="5391" spans="4:5" hidden="1">
      <c r="D5391" s="795"/>
      <c r="E5391" s="795"/>
    </row>
    <row r="5392" spans="4:5" hidden="1">
      <c r="D5392" s="795"/>
      <c r="E5392" s="795"/>
    </row>
    <row r="5393" spans="4:5" hidden="1">
      <c r="D5393" s="795"/>
      <c r="E5393" s="795"/>
    </row>
    <row r="5394" spans="4:5" hidden="1">
      <c r="D5394" s="795"/>
      <c r="E5394" s="795"/>
    </row>
    <row r="5395" spans="4:5" hidden="1">
      <c r="D5395" s="795"/>
      <c r="E5395" s="795"/>
    </row>
    <row r="5396" spans="4:5" hidden="1">
      <c r="D5396" s="795"/>
      <c r="E5396" s="795"/>
    </row>
    <row r="5397" spans="4:5" hidden="1">
      <c r="D5397" s="795"/>
      <c r="E5397" s="795"/>
    </row>
    <row r="5398" spans="4:5" hidden="1">
      <c r="D5398" s="795"/>
      <c r="E5398" s="795"/>
    </row>
    <row r="5399" spans="4:5" hidden="1">
      <c r="D5399" s="795"/>
      <c r="E5399" s="795"/>
    </row>
    <row r="5400" spans="4:5" hidden="1">
      <c r="D5400" s="795"/>
      <c r="E5400" s="795"/>
    </row>
    <row r="5401" spans="4:5" hidden="1">
      <c r="D5401" s="795"/>
      <c r="E5401" s="795"/>
    </row>
    <row r="5402" spans="4:5" hidden="1">
      <c r="D5402" s="795"/>
      <c r="E5402" s="795"/>
    </row>
    <row r="5403" spans="4:5" hidden="1">
      <c r="D5403" s="795"/>
      <c r="E5403" s="795"/>
    </row>
    <row r="5404" spans="4:5" hidden="1">
      <c r="D5404" s="795"/>
      <c r="E5404" s="795"/>
    </row>
    <row r="5405" spans="4:5" hidden="1">
      <c r="D5405" s="795"/>
      <c r="E5405" s="795"/>
    </row>
    <row r="5406" spans="4:5" hidden="1">
      <c r="D5406" s="795"/>
      <c r="E5406" s="795"/>
    </row>
    <row r="5407" spans="4:5" hidden="1">
      <c r="D5407" s="795"/>
      <c r="E5407" s="795"/>
    </row>
    <row r="5408" spans="4:5" hidden="1">
      <c r="D5408" s="795"/>
      <c r="E5408" s="795"/>
    </row>
    <row r="5409" spans="4:5" hidden="1">
      <c r="D5409" s="795"/>
      <c r="E5409" s="795"/>
    </row>
    <row r="5410" spans="4:5" hidden="1">
      <c r="D5410" s="795"/>
      <c r="E5410" s="795"/>
    </row>
    <row r="5411" spans="4:5" hidden="1">
      <c r="D5411" s="795"/>
      <c r="E5411" s="795"/>
    </row>
    <row r="5412" spans="4:5" hidden="1">
      <c r="D5412" s="795"/>
      <c r="E5412" s="795"/>
    </row>
    <row r="5413" spans="4:5" hidden="1">
      <c r="D5413" s="795"/>
      <c r="E5413" s="795"/>
    </row>
    <row r="5414" spans="4:5" hidden="1">
      <c r="D5414" s="795"/>
      <c r="E5414" s="795"/>
    </row>
    <row r="5415" spans="4:5" hidden="1">
      <c r="D5415" s="795"/>
      <c r="E5415" s="795"/>
    </row>
    <row r="5416" spans="4:5" hidden="1">
      <c r="D5416" s="795"/>
      <c r="E5416" s="795"/>
    </row>
    <row r="5417" spans="4:5" hidden="1">
      <c r="D5417" s="795"/>
      <c r="E5417" s="795"/>
    </row>
    <row r="5418" spans="4:5" hidden="1">
      <c r="D5418" s="795"/>
      <c r="E5418" s="795"/>
    </row>
    <row r="5419" spans="4:5" hidden="1">
      <c r="D5419" s="795"/>
      <c r="E5419" s="795"/>
    </row>
    <row r="5420" spans="4:5" hidden="1">
      <c r="D5420" s="795"/>
      <c r="E5420" s="795"/>
    </row>
    <row r="5421" spans="4:5" hidden="1">
      <c r="D5421" s="795"/>
      <c r="E5421" s="795"/>
    </row>
    <row r="5422" spans="4:5" hidden="1">
      <c r="D5422" s="795"/>
      <c r="E5422" s="795"/>
    </row>
    <row r="5423" spans="4:5" hidden="1">
      <c r="D5423" s="795"/>
      <c r="E5423" s="795"/>
    </row>
    <row r="5424" spans="4:5" hidden="1">
      <c r="D5424" s="795"/>
      <c r="E5424" s="795"/>
    </row>
    <row r="5425" spans="4:5" hidden="1">
      <c r="D5425" s="795"/>
      <c r="E5425" s="795"/>
    </row>
    <row r="5426" spans="4:5" hidden="1">
      <c r="D5426" s="795"/>
      <c r="E5426" s="795"/>
    </row>
    <row r="5427" spans="4:5" hidden="1">
      <c r="D5427" s="795"/>
      <c r="E5427" s="795"/>
    </row>
    <row r="5428" spans="4:5" hidden="1">
      <c r="D5428" s="795"/>
      <c r="E5428" s="795"/>
    </row>
    <row r="5429" spans="4:5" hidden="1">
      <c r="D5429" s="795"/>
      <c r="E5429" s="795"/>
    </row>
    <row r="5430" spans="4:5" hidden="1">
      <c r="D5430" s="795"/>
      <c r="E5430" s="795"/>
    </row>
    <row r="5431" spans="4:5" hidden="1">
      <c r="D5431" s="795"/>
      <c r="E5431" s="795"/>
    </row>
    <row r="5432" spans="4:5" hidden="1">
      <c r="D5432" s="795"/>
      <c r="E5432" s="795"/>
    </row>
    <row r="5433" spans="4:5" hidden="1">
      <c r="D5433" s="795"/>
      <c r="E5433" s="795"/>
    </row>
    <row r="5434" spans="4:5" hidden="1">
      <c r="D5434" s="795"/>
      <c r="E5434" s="795"/>
    </row>
    <row r="5435" spans="4:5" hidden="1">
      <c r="D5435" s="795"/>
      <c r="E5435" s="795"/>
    </row>
    <row r="5436" spans="4:5" hidden="1">
      <c r="D5436" s="795"/>
      <c r="E5436" s="795"/>
    </row>
    <row r="5437" spans="4:5" hidden="1">
      <c r="D5437" s="795"/>
      <c r="E5437" s="795"/>
    </row>
    <row r="5438" spans="4:5" hidden="1">
      <c r="D5438" s="795"/>
      <c r="E5438" s="795"/>
    </row>
    <row r="5439" spans="4:5" hidden="1">
      <c r="D5439" s="795"/>
      <c r="E5439" s="795"/>
    </row>
    <row r="5440" spans="4:5" hidden="1">
      <c r="D5440" s="795"/>
      <c r="E5440" s="795"/>
    </row>
    <row r="5441" spans="4:5" hidden="1">
      <c r="D5441" s="795"/>
      <c r="E5441" s="795"/>
    </row>
    <row r="5442" spans="4:5" hidden="1">
      <c r="D5442" s="795"/>
      <c r="E5442" s="795"/>
    </row>
    <row r="5443" spans="4:5" hidden="1">
      <c r="D5443" s="795"/>
      <c r="E5443" s="795"/>
    </row>
    <row r="5444" spans="4:5" hidden="1">
      <c r="D5444" s="795"/>
      <c r="E5444" s="795"/>
    </row>
    <row r="5445" spans="4:5" hidden="1">
      <c r="D5445" s="795"/>
      <c r="E5445" s="795"/>
    </row>
    <row r="5446" spans="4:5" hidden="1">
      <c r="D5446" s="795"/>
      <c r="E5446" s="795"/>
    </row>
    <row r="5447" spans="4:5" hidden="1">
      <c r="D5447" s="795"/>
      <c r="E5447" s="795"/>
    </row>
    <row r="5448" spans="4:5" hidden="1">
      <c r="D5448" s="795"/>
      <c r="E5448" s="795"/>
    </row>
    <row r="5449" spans="4:5" hidden="1">
      <c r="D5449" s="795"/>
      <c r="E5449" s="795"/>
    </row>
    <row r="5450" spans="4:5" hidden="1">
      <c r="D5450" s="795"/>
      <c r="E5450" s="795"/>
    </row>
    <row r="5451" spans="4:5" hidden="1">
      <c r="D5451" s="795"/>
      <c r="E5451" s="795"/>
    </row>
    <row r="5452" spans="4:5" hidden="1">
      <c r="D5452" s="795"/>
      <c r="E5452" s="795"/>
    </row>
    <row r="5453" spans="4:5" hidden="1">
      <c r="D5453" s="795"/>
      <c r="E5453" s="795"/>
    </row>
    <row r="5454" spans="4:5" hidden="1">
      <c r="D5454" s="795"/>
      <c r="E5454" s="795"/>
    </row>
    <row r="5455" spans="4:5" hidden="1">
      <c r="D5455" s="795"/>
      <c r="E5455" s="795"/>
    </row>
    <row r="5456" spans="4:5" hidden="1">
      <c r="D5456" s="795"/>
      <c r="E5456" s="795"/>
    </row>
    <row r="5457" spans="4:5" hidden="1">
      <c r="D5457" s="795"/>
      <c r="E5457" s="795"/>
    </row>
    <row r="5458" spans="4:5" hidden="1">
      <c r="D5458" s="795"/>
      <c r="E5458" s="795"/>
    </row>
    <row r="5459" spans="4:5" hidden="1">
      <c r="D5459" s="795"/>
      <c r="E5459" s="795"/>
    </row>
    <row r="5460" spans="4:5" hidden="1">
      <c r="D5460" s="795"/>
      <c r="E5460" s="795"/>
    </row>
    <row r="5461" spans="4:5" hidden="1">
      <c r="D5461" s="795"/>
      <c r="E5461" s="795"/>
    </row>
    <row r="5462" spans="4:5" hidden="1">
      <c r="D5462" s="795"/>
      <c r="E5462" s="795"/>
    </row>
    <row r="5463" spans="4:5" hidden="1">
      <c r="D5463" s="795"/>
      <c r="E5463" s="795"/>
    </row>
    <row r="5464" spans="4:5" hidden="1">
      <c r="D5464" s="795"/>
      <c r="E5464" s="795"/>
    </row>
    <row r="5465" spans="4:5" hidden="1">
      <c r="D5465" s="795"/>
      <c r="E5465" s="795"/>
    </row>
    <row r="5466" spans="4:5" hidden="1">
      <c r="D5466" s="795"/>
      <c r="E5466" s="795"/>
    </row>
    <row r="5467" spans="4:5" hidden="1">
      <c r="D5467" s="795"/>
      <c r="E5467" s="795"/>
    </row>
    <row r="5468" spans="4:5" hidden="1">
      <c r="D5468" s="795"/>
      <c r="E5468" s="795"/>
    </row>
    <row r="5469" spans="4:5" hidden="1">
      <c r="D5469" s="795"/>
      <c r="E5469" s="795"/>
    </row>
    <row r="5470" spans="4:5" hidden="1">
      <c r="D5470" s="795"/>
      <c r="E5470" s="795"/>
    </row>
    <row r="5471" spans="4:5" hidden="1">
      <c r="D5471" s="795"/>
      <c r="E5471" s="795"/>
    </row>
    <row r="5472" spans="4:5" hidden="1">
      <c r="D5472" s="795"/>
      <c r="E5472" s="795"/>
    </row>
    <row r="5473" spans="4:5" hidden="1">
      <c r="D5473" s="795"/>
      <c r="E5473" s="795"/>
    </row>
    <row r="5474" spans="4:5" hidden="1">
      <c r="D5474" s="795"/>
      <c r="E5474" s="795"/>
    </row>
    <row r="5475" spans="4:5" hidden="1">
      <c r="D5475" s="795"/>
      <c r="E5475" s="795"/>
    </row>
    <row r="5476" spans="4:5" hidden="1">
      <c r="D5476" s="795"/>
      <c r="E5476" s="795"/>
    </row>
    <row r="5477" spans="4:5" hidden="1">
      <c r="D5477" s="795"/>
      <c r="E5477" s="795"/>
    </row>
    <row r="5478" spans="4:5" hidden="1">
      <c r="D5478" s="795"/>
      <c r="E5478" s="795"/>
    </row>
    <row r="5479" spans="4:5" hidden="1">
      <c r="D5479" s="795"/>
      <c r="E5479" s="795"/>
    </row>
    <row r="5480" spans="4:5" hidden="1">
      <c r="D5480" s="795"/>
      <c r="E5480" s="795"/>
    </row>
    <row r="5481" spans="4:5" hidden="1">
      <c r="D5481" s="795"/>
      <c r="E5481" s="795"/>
    </row>
    <row r="5482" spans="4:5" hidden="1">
      <c r="D5482" s="795"/>
      <c r="E5482" s="795"/>
    </row>
    <row r="5483" spans="4:5" hidden="1">
      <c r="D5483" s="795"/>
      <c r="E5483" s="795"/>
    </row>
    <row r="5484" spans="4:5" hidden="1">
      <c r="D5484" s="795"/>
      <c r="E5484" s="795"/>
    </row>
    <row r="5485" spans="4:5" hidden="1">
      <c r="D5485" s="795"/>
      <c r="E5485" s="795"/>
    </row>
    <row r="5486" spans="4:5" hidden="1">
      <c r="D5486" s="795"/>
      <c r="E5486" s="795"/>
    </row>
    <row r="5487" spans="4:5" hidden="1">
      <c r="D5487" s="795"/>
      <c r="E5487" s="795"/>
    </row>
    <row r="5488" spans="4:5" hidden="1">
      <c r="D5488" s="795"/>
      <c r="E5488" s="795"/>
    </row>
    <row r="5489" spans="4:5" hidden="1">
      <c r="D5489" s="795"/>
      <c r="E5489" s="795"/>
    </row>
    <row r="5490" spans="4:5" hidden="1">
      <c r="D5490" s="795"/>
      <c r="E5490" s="795"/>
    </row>
    <row r="5491" spans="4:5" hidden="1">
      <c r="D5491" s="795"/>
      <c r="E5491" s="795"/>
    </row>
    <row r="5492" spans="4:5" hidden="1">
      <c r="D5492" s="795"/>
      <c r="E5492" s="795"/>
    </row>
    <row r="5493" spans="4:5" hidden="1">
      <c r="D5493" s="795"/>
      <c r="E5493" s="795"/>
    </row>
    <row r="5494" spans="4:5" hidden="1">
      <c r="D5494" s="795"/>
      <c r="E5494" s="795"/>
    </row>
    <row r="5495" spans="4:5" hidden="1">
      <c r="D5495" s="795"/>
      <c r="E5495" s="795"/>
    </row>
    <row r="5496" spans="4:5" hidden="1">
      <c r="D5496" s="795"/>
      <c r="E5496" s="795"/>
    </row>
    <row r="5497" spans="4:5" hidden="1">
      <c r="D5497" s="795"/>
      <c r="E5497" s="795"/>
    </row>
    <row r="5498" spans="4:5" hidden="1">
      <c r="D5498" s="795"/>
      <c r="E5498" s="795"/>
    </row>
    <row r="5499" spans="4:5" hidden="1">
      <c r="D5499" s="795"/>
      <c r="E5499" s="795"/>
    </row>
    <row r="5500" spans="4:5" hidden="1">
      <c r="D5500" s="795"/>
      <c r="E5500" s="795"/>
    </row>
    <row r="5501" spans="4:5" hidden="1">
      <c r="D5501" s="795"/>
      <c r="E5501" s="795"/>
    </row>
    <row r="5502" spans="4:5" hidden="1">
      <c r="D5502" s="795"/>
      <c r="E5502" s="795"/>
    </row>
    <row r="5503" spans="4:5" hidden="1">
      <c r="D5503" s="795"/>
      <c r="E5503" s="795"/>
    </row>
    <row r="5504" spans="4:5" hidden="1">
      <c r="D5504" s="795"/>
      <c r="E5504" s="795"/>
    </row>
    <row r="5505" spans="4:5" hidden="1">
      <c r="D5505" s="795"/>
      <c r="E5505" s="795"/>
    </row>
    <row r="5506" spans="4:5" hidden="1">
      <c r="D5506" s="795"/>
      <c r="E5506" s="795"/>
    </row>
    <row r="5507" spans="4:5" hidden="1">
      <c r="D5507" s="795"/>
      <c r="E5507" s="795"/>
    </row>
    <row r="5508" spans="4:5" hidden="1">
      <c r="D5508" s="795"/>
      <c r="E5508" s="795"/>
    </row>
    <row r="5509" spans="4:5" hidden="1">
      <c r="D5509" s="795"/>
      <c r="E5509" s="795"/>
    </row>
    <row r="5510" spans="4:5" hidden="1">
      <c r="D5510" s="795"/>
      <c r="E5510" s="795"/>
    </row>
    <row r="5511" spans="4:5" hidden="1">
      <c r="D5511" s="795"/>
      <c r="E5511" s="795"/>
    </row>
    <row r="5512" spans="4:5" hidden="1">
      <c r="D5512" s="795"/>
      <c r="E5512" s="795"/>
    </row>
    <row r="5513" spans="4:5" hidden="1">
      <c r="D5513" s="795"/>
      <c r="E5513" s="795"/>
    </row>
    <row r="5514" spans="4:5" hidden="1">
      <c r="D5514" s="795"/>
      <c r="E5514" s="795"/>
    </row>
    <row r="5515" spans="4:5" hidden="1">
      <c r="D5515" s="795"/>
      <c r="E5515" s="795"/>
    </row>
    <row r="5516" spans="4:5" hidden="1">
      <c r="D5516" s="795"/>
      <c r="E5516" s="795"/>
    </row>
    <row r="5517" spans="4:5" hidden="1">
      <c r="D5517" s="795"/>
      <c r="E5517" s="795"/>
    </row>
    <row r="5518" spans="4:5" hidden="1">
      <c r="D5518" s="795"/>
      <c r="E5518" s="795"/>
    </row>
    <row r="5519" spans="4:5" hidden="1">
      <c r="D5519" s="795"/>
      <c r="E5519" s="795"/>
    </row>
    <row r="5520" spans="4:5" hidden="1">
      <c r="D5520" s="795"/>
      <c r="E5520" s="795"/>
    </row>
    <row r="5521" spans="4:5" hidden="1">
      <c r="D5521" s="795"/>
      <c r="E5521" s="795"/>
    </row>
    <row r="5522" spans="4:5" hidden="1">
      <c r="D5522" s="795"/>
      <c r="E5522" s="795"/>
    </row>
    <row r="5523" spans="4:5" hidden="1">
      <c r="D5523" s="795"/>
      <c r="E5523" s="795"/>
    </row>
    <row r="5524" spans="4:5" hidden="1">
      <c r="D5524" s="795"/>
      <c r="E5524" s="795"/>
    </row>
    <row r="5525" spans="4:5" hidden="1">
      <c r="D5525" s="795"/>
      <c r="E5525" s="795"/>
    </row>
    <row r="5526" spans="4:5" hidden="1">
      <c r="D5526" s="795"/>
      <c r="E5526" s="795"/>
    </row>
    <row r="5527" spans="4:5" hidden="1">
      <c r="D5527" s="795"/>
      <c r="E5527" s="795"/>
    </row>
    <row r="5528" spans="4:5" hidden="1">
      <c r="D5528" s="795"/>
      <c r="E5528" s="795"/>
    </row>
    <row r="5529" spans="4:5" hidden="1">
      <c r="D5529" s="795"/>
      <c r="E5529" s="795"/>
    </row>
    <row r="5530" spans="4:5" hidden="1">
      <c r="D5530" s="795"/>
      <c r="E5530" s="795"/>
    </row>
    <row r="5531" spans="4:5" hidden="1">
      <c r="D5531" s="795"/>
      <c r="E5531" s="795"/>
    </row>
    <row r="5532" spans="4:5" hidden="1">
      <c r="D5532" s="795"/>
      <c r="E5532" s="795"/>
    </row>
    <row r="5533" spans="4:5" hidden="1">
      <c r="D5533" s="795"/>
      <c r="E5533" s="795"/>
    </row>
    <row r="5534" spans="4:5" hidden="1">
      <c r="D5534" s="795"/>
      <c r="E5534" s="795"/>
    </row>
    <row r="5535" spans="4:5" hidden="1">
      <c r="D5535" s="795"/>
      <c r="E5535" s="795"/>
    </row>
    <row r="5536" spans="4:5" hidden="1">
      <c r="D5536" s="795"/>
      <c r="E5536" s="795"/>
    </row>
    <row r="5537" spans="4:5" hidden="1">
      <c r="D5537" s="795"/>
      <c r="E5537" s="795"/>
    </row>
    <row r="5538" spans="4:5" hidden="1">
      <c r="D5538" s="795"/>
      <c r="E5538" s="795"/>
    </row>
    <row r="5539" spans="4:5" hidden="1">
      <c r="D5539" s="795"/>
      <c r="E5539" s="795"/>
    </row>
    <row r="5540" spans="4:5" hidden="1">
      <c r="D5540" s="795"/>
      <c r="E5540" s="795"/>
    </row>
    <row r="5541" spans="4:5" hidden="1">
      <c r="D5541" s="795"/>
      <c r="E5541" s="795"/>
    </row>
    <row r="5542" spans="4:5" hidden="1">
      <c r="D5542" s="795"/>
      <c r="E5542" s="795"/>
    </row>
    <row r="5543" spans="4:5" hidden="1">
      <c r="D5543" s="795"/>
      <c r="E5543" s="795"/>
    </row>
    <row r="5544" spans="4:5" hidden="1">
      <c r="D5544" s="795"/>
      <c r="E5544" s="795"/>
    </row>
    <row r="5545" spans="4:5" hidden="1">
      <c r="D5545" s="795"/>
      <c r="E5545" s="795"/>
    </row>
    <row r="5546" spans="4:5" hidden="1">
      <c r="D5546" s="795"/>
      <c r="E5546" s="795"/>
    </row>
    <row r="5547" spans="4:5" hidden="1">
      <c r="D5547" s="795"/>
      <c r="E5547" s="795"/>
    </row>
    <row r="5548" spans="4:5" hidden="1">
      <c r="D5548" s="795"/>
      <c r="E5548" s="795"/>
    </row>
    <row r="5549" spans="4:5" hidden="1">
      <c r="D5549" s="795"/>
      <c r="E5549" s="795"/>
    </row>
    <row r="5550" spans="4:5" hidden="1">
      <c r="D5550" s="795"/>
      <c r="E5550" s="795"/>
    </row>
    <row r="5551" spans="4:5" hidden="1">
      <c r="D5551" s="795"/>
      <c r="E5551" s="795"/>
    </row>
    <row r="5552" spans="4:5" hidden="1">
      <c r="D5552" s="795"/>
      <c r="E5552" s="795"/>
    </row>
    <row r="5553" spans="4:5" hidden="1">
      <c r="D5553" s="795"/>
      <c r="E5553" s="795"/>
    </row>
    <row r="5554" spans="4:5" hidden="1">
      <c r="D5554" s="795"/>
      <c r="E5554" s="795"/>
    </row>
    <row r="5555" spans="4:5" hidden="1">
      <c r="D5555" s="795"/>
      <c r="E5555" s="795"/>
    </row>
    <row r="5556" spans="4:5" hidden="1">
      <c r="D5556" s="795"/>
      <c r="E5556" s="795"/>
    </row>
    <row r="5557" spans="4:5" hidden="1">
      <c r="D5557" s="795"/>
      <c r="E5557" s="795"/>
    </row>
    <row r="5558" spans="4:5" hidden="1">
      <c r="D5558" s="795"/>
      <c r="E5558" s="795"/>
    </row>
    <row r="5559" spans="4:5" hidden="1">
      <c r="D5559" s="795"/>
      <c r="E5559" s="795"/>
    </row>
    <row r="5560" spans="4:5" hidden="1">
      <c r="D5560" s="795"/>
      <c r="E5560" s="795"/>
    </row>
    <row r="5561" spans="4:5" hidden="1">
      <c r="D5561" s="795"/>
      <c r="E5561" s="795"/>
    </row>
    <row r="5562" spans="4:5" hidden="1">
      <c r="D5562" s="795"/>
      <c r="E5562" s="795"/>
    </row>
    <row r="5563" spans="4:5" hidden="1">
      <c r="D5563" s="795"/>
      <c r="E5563" s="795"/>
    </row>
    <row r="5564" spans="4:5" hidden="1">
      <c r="D5564" s="795"/>
      <c r="E5564" s="795"/>
    </row>
    <row r="5565" spans="4:5" hidden="1">
      <c r="D5565" s="795"/>
      <c r="E5565" s="795"/>
    </row>
    <row r="5566" spans="4:5" hidden="1">
      <c r="D5566" s="795"/>
      <c r="E5566" s="795"/>
    </row>
    <row r="5567" spans="4:5" hidden="1">
      <c r="D5567" s="795"/>
      <c r="E5567" s="795"/>
    </row>
    <row r="5568" spans="4:5" hidden="1">
      <c r="D5568" s="795"/>
      <c r="E5568" s="795"/>
    </row>
    <row r="5569" spans="4:5" hidden="1">
      <c r="D5569" s="795"/>
      <c r="E5569" s="795"/>
    </row>
    <row r="5570" spans="4:5" hidden="1">
      <c r="D5570" s="795"/>
      <c r="E5570" s="795"/>
    </row>
    <row r="5571" spans="4:5" hidden="1">
      <c r="D5571" s="795"/>
      <c r="E5571" s="795"/>
    </row>
    <row r="5572" spans="4:5" hidden="1">
      <c r="D5572" s="795"/>
      <c r="E5572" s="795"/>
    </row>
    <row r="5573" spans="4:5" hidden="1">
      <c r="D5573" s="795"/>
      <c r="E5573" s="795"/>
    </row>
    <row r="5574" spans="4:5" hidden="1">
      <c r="D5574" s="795"/>
      <c r="E5574" s="795"/>
    </row>
    <row r="5575" spans="4:5" hidden="1">
      <c r="D5575" s="795"/>
      <c r="E5575" s="795"/>
    </row>
    <row r="5576" spans="4:5" hidden="1">
      <c r="D5576" s="795"/>
      <c r="E5576" s="795"/>
    </row>
    <row r="5577" spans="4:5" hidden="1">
      <c r="D5577" s="795"/>
      <c r="E5577" s="795"/>
    </row>
    <row r="5578" spans="4:5" hidden="1">
      <c r="D5578" s="795"/>
      <c r="E5578" s="795"/>
    </row>
    <row r="5579" spans="4:5" hidden="1">
      <c r="D5579" s="795"/>
      <c r="E5579" s="795"/>
    </row>
    <row r="5580" spans="4:5" hidden="1">
      <c r="D5580" s="795"/>
      <c r="E5580" s="795"/>
    </row>
    <row r="5581" spans="4:5" hidden="1">
      <c r="D5581" s="795"/>
      <c r="E5581" s="795"/>
    </row>
    <row r="5582" spans="4:5" hidden="1">
      <c r="D5582" s="795"/>
      <c r="E5582" s="795"/>
    </row>
    <row r="5583" spans="4:5" hidden="1">
      <c r="D5583" s="795"/>
      <c r="E5583" s="795"/>
    </row>
    <row r="5584" spans="4:5" hidden="1">
      <c r="D5584" s="795"/>
      <c r="E5584" s="795"/>
    </row>
    <row r="5585" spans="4:5" hidden="1">
      <c r="D5585" s="795"/>
      <c r="E5585" s="795"/>
    </row>
    <row r="5586" spans="4:5" hidden="1">
      <c r="D5586" s="795"/>
      <c r="E5586" s="795"/>
    </row>
    <row r="5587" spans="4:5" hidden="1">
      <c r="D5587" s="795"/>
      <c r="E5587" s="795"/>
    </row>
    <row r="5588" spans="4:5" hidden="1">
      <c r="D5588" s="795"/>
      <c r="E5588" s="795"/>
    </row>
    <row r="5589" spans="4:5" hidden="1">
      <c r="D5589" s="795"/>
      <c r="E5589" s="795"/>
    </row>
    <row r="5590" spans="4:5" hidden="1">
      <c r="D5590" s="795"/>
      <c r="E5590" s="795"/>
    </row>
    <row r="5591" spans="4:5" hidden="1">
      <c r="D5591" s="795"/>
      <c r="E5591" s="795"/>
    </row>
    <row r="5592" spans="4:5" hidden="1">
      <c r="D5592" s="795"/>
      <c r="E5592" s="795"/>
    </row>
    <row r="5593" spans="4:5" hidden="1">
      <c r="D5593" s="795"/>
      <c r="E5593" s="795"/>
    </row>
    <row r="5594" spans="4:5" hidden="1">
      <c r="D5594" s="795"/>
      <c r="E5594" s="795"/>
    </row>
    <row r="5595" spans="4:5" hidden="1">
      <c r="D5595" s="795"/>
      <c r="E5595" s="795"/>
    </row>
    <row r="5596" spans="4:5" hidden="1">
      <c r="D5596" s="795"/>
      <c r="E5596" s="795"/>
    </row>
    <row r="5597" spans="4:5" hidden="1">
      <c r="D5597" s="795"/>
      <c r="E5597" s="795"/>
    </row>
    <row r="5598" spans="4:5" hidden="1">
      <c r="D5598" s="795"/>
      <c r="E5598" s="795"/>
    </row>
    <row r="5599" spans="4:5" hidden="1">
      <c r="D5599" s="795"/>
      <c r="E5599" s="795"/>
    </row>
    <row r="5600" spans="4:5" hidden="1">
      <c r="D5600" s="795"/>
      <c r="E5600" s="795"/>
    </row>
    <row r="5601" spans="4:5" hidden="1">
      <c r="D5601" s="795"/>
      <c r="E5601" s="795"/>
    </row>
    <row r="5602" spans="4:5" hidden="1">
      <c r="D5602" s="795"/>
      <c r="E5602" s="795"/>
    </row>
    <row r="5603" spans="4:5" hidden="1">
      <c r="D5603" s="795"/>
      <c r="E5603" s="795"/>
    </row>
    <row r="5604" spans="4:5" hidden="1">
      <c r="D5604" s="795"/>
      <c r="E5604" s="795"/>
    </row>
    <row r="5605" spans="4:5" hidden="1">
      <c r="D5605" s="795"/>
      <c r="E5605" s="795"/>
    </row>
    <row r="5606" spans="4:5" hidden="1">
      <c r="D5606" s="795"/>
      <c r="E5606" s="795"/>
    </row>
    <row r="5607" spans="4:5" hidden="1">
      <c r="D5607" s="795"/>
      <c r="E5607" s="795"/>
    </row>
    <row r="5608" spans="4:5" hidden="1">
      <c r="D5608" s="795"/>
      <c r="E5608" s="795"/>
    </row>
    <row r="5609" spans="4:5" hidden="1">
      <c r="D5609" s="795"/>
      <c r="E5609" s="795"/>
    </row>
    <row r="5610" spans="4:5" hidden="1">
      <c r="D5610" s="795"/>
      <c r="E5610" s="795"/>
    </row>
    <row r="5611" spans="4:5" hidden="1">
      <c r="D5611" s="795"/>
      <c r="E5611" s="795"/>
    </row>
    <row r="5612" spans="4:5" hidden="1">
      <c r="D5612" s="795"/>
      <c r="E5612" s="795"/>
    </row>
    <row r="5613" spans="4:5" hidden="1">
      <c r="D5613" s="795"/>
      <c r="E5613" s="795"/>
    </row>
    <row r="5614" spans="4:5" hidden="1">
      <c r="D5614" s="795"/>
      <c r="E5614" s="795"/>
    </row>
    <row r="5615" spans="4:5" hidden="1">
      <c r="D5615" s="795"/>
      <c r="E5615" s="795"/>
    </row>
    <row r="5616" spans="4:5" hidden="1">
      <c r="D5616" s="795"/>
      <c r="E5616" s="795"/>
    </row>
    <row r="5617" spans="4:5" hidden="1">
      <c r="D5617" s="795"/>
      <c r="E5617" s="795"/>
    </row>
    <row r="5618" spans="4:5" hidden="1">
      <c r="D5618" s="795"/>
      <c r="E5618" s="795"/>
    </row>
    <row r="5619" spans="4:5" hidden="1">
      <c r="D5619" s="795"/>
      <c r="E5619" s="795"/>
    </row>
    <row r="5620" spans="4:5" hidden="1">
      <c r="D5620" s="795"/>
      <c r="E5620" s="795"/>
    </row>
    <row r="5621" spans="4:5" hidden="1">
      <c r="D5621" s="795"/>
      <c r="E5621" s="795"/>
    </row>
    <row r="5622" spans="4:5" hidden="1">
      <c r="D5622" s="795"/>
      <c r="E5622" s="795"/>
    </row>
    <row r="5623" spans="4:5" hidden="1">
      <c r="D5623" s="795"/>
      <c r="E5623" s="795"/>
    </row>
    <row r="5624" spans="4:5" hidden="1">
      <c r="D5624" s="795"/>
      <c r="E5624" s="795"/>
    </row>
    <row r="5625" spans="4:5" hidden="1">
      <c r="D5625" s="795"/>
      <c r="E5625" s="795"/>
    </row>
    <row r="5626" spans="4:5" hidden="1">
      <c r="D5626" s="795"/>
      <c r="E5626" s="795"/>
    </row>
    <row r="5627" spans="4:5" hidden="1">
      <c r="D5627" s="795"/>
      <c r="E5627" s="795"/>
    </row>
    <row r="5628" spans="4:5" hidden="1">
      <c r="D5628" s="795"/>
      <c r="E5628" s="795"/>
    </row>
    <row r="5629" spans="4:5" hidden="1">
      <c r="D5629" s="795"/>
      <c r="E5629" s="795"/>
    </row>
    <row r="5630" spans="4:5" hidden="1">
      <c r="D5630" s="795"/>
      <c r="E5630" s="795"/>
    </row>
    <row r="5631" spans="4:5" hidden="1">
      <c r="D5631" s="795"/>
      <c r="E5631" s="795"/>
    </row>
    <row r="5632" spans="4:5" hidden="1">
      <c r="D5632" s="795"/>
      <c r="E5632" s="795"/>
    </row>
    <row r="5633" spans="4:5" hidden="1">
      <c r="D5633" s="795"/>
      <c r="E5633" s="795"/>
    </row>
    <row r="5634" spans="4:5" hidden="1">
      <c r="D5634" s="795"/>
      <c r="E5634" s="795"/>
    </row>
    <row r="5635" spans="4:5" hidden="1">
      <c r="D5635" s="795"/>
      <c r="E5635" s="795"/>
    </row>
    <row r="5636" spans="4:5" hidden="1">
      <c r="D5636" s="795"/>
      <c r="E5636" s="795"/>
    </row>
    <row r="5637" spans="4:5" hidden="1">
      <c r="D5637" s="795"/>
      <c r="E5637" s="795"/>
    </row>
    <row r="5638" spans="4:5" hidden="1">
      <c r="D5638" s="795"/>
      <c r="E5638" s="795"/>
    </row>
    <row r="5639" spans="4:5" hidden="1">
      <c r="D5639" s="795"/>
      <c r="E5639" s="795"/>
    </row>
    <row r="5640" spans="4:5" hidden="1">
      <c r="D5640" s="795"/>
      <c r="E5640" s="795"/>
    </row>
    <row r="5641" spans="4:5" hidden="1">
      <c r="D5641" s="795"/>
      <c r="E5641" s="795"/>
    </row>
    <row r="5642" spans="4:5" hidden="1">
      <c r="D5642" s="795"/>
      <c r="E5642" s="795"/>
    </row>
    <row r="5643" spans="4:5" hidden="1">
      <c r="D5643" s="795"/>
      <c r="E5643" s="795"/>
    </row>
    <row r="5644" spans="4:5" hidden="1">
      <c r="D5644" s="795"/>
      <c r="E5644" s="795"/>
    </row>
    <row r="5645" spans="4:5" hidden="1">
      <c r="D5645" s="795"/>
      <c r="E5645" s="795"/>
    </row>
    <row r="5646" spans="4:5" hidden="1">
      <c r="D5646" s="795"/>
      <c r="E5646" s="795"/>
    </row>
    <row r="5647" spans="4:5" hidden="1">
      <c r="D5647" s="795"/>
      <c r="E5647" s="795"/>
    </row>
    <row r="5648" spans="4:5" hidden="1">
      <c r="D5648" s="795"/>
      <c r="E5648" s="795"/>
    </row>
    <row r="5649" spans="4:5" hidden="1">
      <c r="D5649" s="795"/>
      <c r="E5649" s="795"/>
    </row>
    <row r="5650" spans="4:5" hidden="1">
      <c r="D5650" s="795"/>
      <c r="E5650" s="795"/>
    </row>
    <row r="5651" spans="4:5" hidden="1">
      <c r="D5651" s="795"/>
      <c r="E5651" s="795"/>
    </row>
    <row r="5652" spans="4:5" hidden="1">
      <c r="D5652" s="795"/>
      <c r="E5652" s="795"/>
    </row>
    <row r="5653" spans="4:5" hidden="1">
      <c r="D5653" s="795"/>
      <c r="E5653" s="795"/>
    </row>
    <row r="5654" spans="4:5" hidden="1">
      <c r="D5654" s="795"/>
      <c r="E5654" s="795"/>
    </row>
    <row r="5655" spans="4:5" hidden="1">
      <c r="D5655" s="795"/>
      <c r="E5655" s="795"/>
    </row>
    <row r="5656" spans="4:5" hidden="1">
      <c r="D5656" s="795"/>
      <c r="E5656" s="795"/>
    </row>
    <row r="5657" spans="4:5" hidden="1">
      <c r="D5657" s="795"/>
      <c r="E5657" s="795"/>
    </row>
    <row r="5658" spans="4:5" hidden="1">
      <c r="D5658" s="795"/>
      <c r="E5658" s="795"/>
    </row>
    <row r="5659" spans="4:5" hidden="1">
      <c r="D5659" s="795"/>
      <c r="E5659" s="795"/>
    </row>
    <row r="5660" spans="4:5" hidden="1">
      <c r="D5660" s="795"/>
      <c r="E5660" s="795"/>
    </row>
    <row r="5661" spans="4:5" hidden="1">
      <c r="D5661" s="795"/>
      <c r="E5661" s="795"/>
    </row>
    <row r="5662" spans="4:5" hidden="1">
      <c r="D5662" s="795"/>
      <c r="E5662" s="795"/>
    </row>
    <row r="5663" spans="4:5" hidden="1">
      <c r="D5663" s="795"/>
      <c r="E5663" s="795"/>
    </row>
    <row r="5664" spans="4:5" hidden="1">
      <c r="D5664" s="795"/>
      <c r="E5664" s="795"/>
    </row>
    <row r="5665" spans="4:5" hidden="1">
      <c r="D5665" s="795"/>
      <c r="E5665" s="795"/>
    </row>
    <row r="5666" spans="4:5" hidden="1">
      <c r="D5666" s="795"/>
      <c r="E5666" s="795"/>
    </row>
    <row r="5667" spans="4:5" hidden="1">
      <c r="D5667" s="795"/>
      <c r="E5667" s="795"/>
    </row>
    <row r="5668" spans="4:5" hidden="1">
      <c r="D5668" s="795"/>
      <c r="E5668" s="795"/>
    </row>
    <row r="5669" spans="4:5" hidden="1">
      <c r="D5669" s="795"/>
      <c r="E5669" s="795"/>
    </row>
    <row r="5670" spans="4:5" hidden="1">
      <c r="D5670" s="795"/>
      <c r="E5670" s="795"/>
    </row>
    <row r="5671" spans="4:5" hidden="1">
      <c r="D5671" s="795"/>
      <c r="E5671" s="795"/>
    </row>
    <row r="5672" spans="4:5" hidden="1">
      <c r="D5672" s="795"/>
      <c r="E5672" s="795"/>
    </row>
    <row r="5673" spans="4:5" hidden="1">
      <c r="D5673" s="795"/>
      <c r="E5673" s="795"/>
    </row>
    <row r="5674" spans="4:5" hidden="1">
      <c r="D5674" s="795"/>
      <c r="E5674" s="795"/>
    </row>
    <row r="5675" spans="4:5" hidden="1">
      <c r="D5675" s="795"/>
      <c r="E5675" s="795"/>
    </row>
    <row r="5676" spans="4:5" hidden="1">
      <c r="D5676" s="795"/>
      <c r="E5676" s="795"/>
    </row>
    <row r="5677" spans="4:5" hidden="1">
      <c r="D5677" s="795"/>
      <c r="E5677" s="795"/>
    </row>
    <row r="5678" spans="4:5" hidden="1">
      <c r="D5678" s="795"/>
      <c r="E5678" s="795"/>
    </row>
    <row r="5679" spans="4:5" hidden="1">
      <c r="D5679" s="795"/>
      <c r="E5679" s="795"/>
    </row>
    <row r="5680" spans="4:5" hidden="1">
      <c r="D5680" s="795"/>
      <c r="E5680" s="795"/>
    </row>
    <row r="5681" spans="4:5" hidden="1">
      <c r="D5681" s="795"/>
      <c r="E5681" s="795"/>
    </row>
    <row r="5682" spans="4:5" hidden="1">
      <c r="D5682" s="795"/>
      <c r="E5682" s="795"/>
    </row>
    <row r="5683" spans="4:5" hidden="1">
      <c r="D5683" s="795"/>
      <c r="E5683" s="795"/>
    </row>
    <row r="5684" spans="4:5" hidden="1">
      <c r="D5684" s="795"/>
      <c r="E5684" s="795"/>
    </row>
    <row r="5685" spans="4:5" hidden="1">
      <c r="D5685" s="795"/>
      <c r="E5685" s="795"/>
    </row>
    <row r="5686" spans="4:5" hidden="1">
      <c r="D5686" s="795"/>
      <c r="E5686" s="795"/>
    </row>
    <row r="5687" spans="4:5" hidden="1">
      <c r="D5687" s="795"/>
      <c r="E5687" s="795"/>
    </row>
    <row r="5688" spans="4:5" hidden="1">
      <c r="D5688" s="795"/>
      <c r="E5688" s="795"/>
    </row>
    <row r="5689" spans="4:5" hidden="1">
      <c r="D5689" s="795"/>
      <c r="E5689" s="795"/>
    </row>
    <row r="5690" spans="4:5" hidden="1">
      <c r="D5690" s="795"/>
      <c r="E5690" s="795"/>
    </row>
    <row r="5691" spans="4:5" hidden="1">
      <c r="D5691" s="795"/>
      <c r="E5691" s="795"/>
    </row>
    <row r="5692" spans="4:5" hidden="1">
      <c r="D5692" s="795"/>
      <c r="E5692" s="795"/>
    </row>
    <row r="5693" spans="4:5" hidden="1">
      <c r="D5693" s="795"/>
      <c r="E5693" s="795"/>
    </row>
    <row r="5694" spans="4:5" hidden="1">
      <c r="D5694" s="795"/>
      <c r="E5694" s="795"/>
    </row>
    <row r="5695" spans="4:5" hidden="1">
      <c r="D5695" s="795"/>
      <c r="E5695" s="795"/>
    </row>
    <row r="5696" spans="4:5" hidden="1">
      <c r="D5696" s="795"/>
      <c r="E5696" s="795"/>
    </row>
    <row r="5697" spans="4:5" hidden="1">
      <c r="D5697" s="795"/>
      <c r="E5697" s="795"/>
    </row>
    <row r="5698" spans="4:5" hidden="1">
      <c r="D5698" s="795"/>
      <c r="E5698" s="795"/>
    </row>
    <row r="5699" spans="4:5" hidden="1">
      <c r="D5699" s="795"/>
      <c r="E5699" s="795"/>
    </row>
    <row r="5700" spans="4:5" hidden="1">
      <c r="D5700" s="795"/>
      <c r="E5700" s="795"/>
    </row>
    <row r="5701" spans="4:5" hidden="1">
      <c r="D5701" s="795"/>
      <c r="E5701" s="795"/>
    </row>
    <row r="5702" spans="4:5" hidden="1">
      <c r="D5702" s="795"/>
      <c r="E5702" s="795"/>
    </row>
    <row r="5703" spans="4:5" hidden="1">
      <c r="D5703" s="795"/>
      <c r="E5703" s="795"/>
    </row>
    <row r="5704" spans="4:5" hidden="1">
      <c r="D5704" s="795"/>
      <c r="E5704" s="795"/>
    </row>
    <row r="5705" spans="4:5" hidden="1">
      <c r="D5705" s="795"/>
      <c r="E5705" s="795"/>
    </row>
    <row r="5706" spans="4:5" hidden="1">
      <c r="D5706" s="795"/>
      <c r="E5706" s="795"/>
    </row>
    <row r="5707" spans="4:5" hidden="1">
      <c r="D5707" s="795"/>
      <c r="E5707" s="795"/>
    </row>
    <row r="5708" spans="4:5" hidden="1">
      <c r="D5708" s="795"/>
      <c r="E5708" s="795"/>
    </row>
    <row r="5709" spans="4:5" hidden="1">
      <c r="D5709" s="795"/>
      <c r="E5709" s="795"/>
    </row>
    <row r="5710" spans="4:5" hidden="1">
      <c r="D5710" s="795"/>
      <c r="E5710" s="795"/>
    </row>
    <row r="5711" spans="4:5" hidden="1">
      <c r="D5711" s="795"/>
      <c r="E5711" s="795"/>
    </row>
    <row r="5712" spans="4:5" hidden="1">
      <c r="D5712" s="795"/>
      <c r="E5712" s="795"/>
    </row>
    <row r="5713" spans="4:5" hidden="1">
      <c r="D5713" s="795"/>
      <c r="E5713" s="795"/>
    </row>
    <row r="5714" spans="4:5" hidden="1">
      <c r="D5714" s="795"/>
      <c r="E5714" s="795"/>
    </row>
    <row r="5715" spans="4:5" hidden="1">
      <c r="D5715" s="795"/>
      <c r="E5715" s="795"/>
    </row>
    <row r="5716" spans="4:5" hidden="1">
      <c r="D5716" s="795"/>
      <c r="E5716" s="795"/>
    </row>
    <row r="5717" spans="4:5" hidden="1">
      <c r="D5717" s="795"/>
      <c r="E5717" s="795"/>
    </row>
    <row r="5718" spans="4:5" hidden="1">
      <c r="D5718" s="795"/>
      <c r="E5718" s="795"/>
    </row>
    <row r="5719" spans="4:5" hidden="1">
      <c r="D5719" s="795"/>
      <c r="E5719" s="795"/>
    </row>
    <row r="5720" spans="4:5" hidden="1">
      <c r="D5720" s="795"/>
      <c r="E5720" s="795"/>
    </row>
    <row r="5721" spans="4:5" hidden="1">
      <c r="D5721" s="795"/>
      <c r="E5721" s="795"/>
    </row>
    <row r="5722" spans="4:5" hidden="1">
      <c r="D5722" s="795"/>
      <c r="E5722" s="795"/>
    </row>
    <row r="5723" spans="4:5" hidden="1">
      <c r="D5723" s="795"/>
      <c r="E5723" s="795"/>
    </row>
    <row r="5724" spans="4:5" hidden="1">
      <c r="D5724" s="795"/>
      <c r="E5724" s="795"/>
    </row>
    <row r="5725" spans="4:5" hidden="1">
      <c r="D5725" s="795"/>
      <c r="E5725" s="795"/>
    </row>
    <row r="5726" spans="4:5" hidden="1">
      <c r="D5726" s="795"/>
      <c r="E5726" s="795"/>
    </row>
    <row r="5727" spans="4:5" hidden="1">
      <c r="D5727" s="795"/>
      <c r="E5727" s="795"/>
    </row>
    <row r="5728" spans="4:5" hidden="1">
      <c r="D5728" s="795"/>
      <c r="E5728" s="795"/>
    </row>
    <row r="5729" spans="4:5" hidden="1">
      <c r="D5729" s="795"/>
      <c r="E5729" s="795"/>
    </row>
    <row r="5730" spans="4:5" hidden="1">
      <c r="D5730" s="795"/>
      <c r="E5730" s="795"/>
    </row>
    <row r="5731" spans="4:5" hidden="1">
      <c r="D5731" s="795"/>
      <c r="E5731" s="795"/>
    </row>
    <row r="5732" spans="4:5" hidden="1">
      <c r="D5732" s="795"/>
      <c r="E5732" s="795"/>
    </row>
    <row r="5733" spans="4:5" hidden="1">
      <c r="D5733" s="795"/>
      <c r="E5733" s="795"/>
    </row>
    <row r="5734" spans="4:5" hidden="1">
      <c r="D5734" s="795"/>
      <c r="E5734" s="795"/>
    </row>
    <row r="5735" spans="4:5" hidden="1">
      <c r="D5735" s="795"/>
      <c r="E5735" s="795"/>
    </row>
    <row r="5736" spans="4:5" hidden="1">
      <c r="D5736" s="795"/>
      <c r="E5736" s="795"/>
    </row>
    <row r="5737" spans="4:5" hidden="1">
      <c r="D5737" s="795"/>
      <c r="E5737" s="795"/>
    </row>
    <row r="5738" spans="4:5" hidden="1">
      <c r="D5738" s="795"/>
      <c r="E5738" s="795"/>
    </row>
    <row r="5739" spans="4:5" hidden="1">
      <c r="D5739" s="795"/>
      <c r="E5739" s="795"/>
    </row>
    <row r="5740" spans="4:5" hidden="1">
      <c r="D5740" s="795"/>
      <c r="E5740" s="795"/>
    </row>
    <row r="5741" spans="4:5" hidden="1">
      <c r="D5741" s="795"/>
      <c r="E5741" s="795"/>
    </row>
    <row r="5742" spans="4:5" hidden="1">
      <c r="D5742" s="795"/>
      <c r="E5742" s="795"/>
    </row>
    <row r="5743" spans="4:5" hidden="1">
      <c r="D5743" s="795"/>
      <c r="E5743" s="795"/>
    </row>
    <row r="5744" spans="4:5" hidden="1">
      <c r="D5744" s="795"/>
      <c r="E5744" s="795"/>
    </row>
    <row r="5745" spans="4:5" hidden="1">
      <c r="D5745" s="795"/>
      <c r="E5745" s="795"/>
    </row>
    <row r="5746" spans="4:5" hidden="1">
      <c r="D5746" s="795"/>
      <c r="E5746" s="795"/>
    </row>
    <row r="5747" spans="4:5" hidden="1">
      <c r="D5747" s="795"/>
      <c r="E5747" s="795"/>
    </row>
    <row r="5748" spans="4:5" hidden="1">
      <c r="D5748" s="795"/>
      <c r="E5748" s="795"/>
    </row>
    <row r="5749" spans="4:5" hidden="1">
      <c r="D5749" s="795"/>
      <c r="E5749" s="795"/>
    </row>
    <row r="5750" spans="4:5" hidden="1">
      <c r="D5750" s="795"/>
      <c r="E5750" s="795"/>
    </row>
    <row r="5751" spans="4:5" hidden="1">
      <c r="D5751" s="795"/>
      <c r="E5751" s="795"/>
    </row>
    <row r="5752" spans="4:5" hidden="1">
      <c r="D5752" s="795"/>
      <c r="E5752" s="795"/>
    </row>
    <row r="5753" spans="4:5" hidden="1">
      <c r="D5753" s="795"/>
      <c r="E5753" s="795"/>
    </row>
    <row r="5754" spans="4:5" hidden="1">
      <c r="D5754" s="795"/>
      <c r="E5754" s="795"/>
    </row>
    <row r="5755" spans="4:5" hidden="1">
      <c r="D5755" s="795"/>
      <c r="E5755" s="795"/>
    </row>
    <row r="5756" spans="4:5" hidden="1">
      <c r="D5756" s="795"/>
      <c r="E5756" s="795"/>
    </row>
    <row r="5757" spans="4:5" hidden="1">
      <c r="D5757" s="795"/>
      <c r="E5757" s="795"/>
    </row>
    <row r="5758" spans="4:5" hidden="1">
      <c r="D5758" s="795"/>
      <c r="E5758" s="795"/>
    </row>
    <row r="5759" spans="4:5" hidden="1">
      <c r="D5759" s="795"/>
      <c r="E5759" s="795"/>
    </row>
    <row r="5760" spans="4:5" hidden="1">
      <c r="D5760" s="795"/>
      <c r="E5760" s="795"/>
    </row>
    <row r="5761" spans="4:5" hidden="1">
      <c r="D5761" s="795"/>
      <c r="E5761" s="795"/>
    </row>
    <row r="5762" spans="4:5" hidden="1">
      <c r="D5762" s="795"/>
      <c r="E5762" s="795"/>
    </row>
    <row r="5763" spans="4:5" hidden="1">
      <c r="D5763" s="795"/>
      <c r="E5763" s="795"/>
    </row>
    <row r="5764" spans="4:5" hidden="1">
      <c r="D5764" s="795"/>
      <c r="E5764" s="795"/>
    </row>
    <row r="5765" spans="4:5" hidden="1">
      <c r="D5765" s="795"/>
      <c r="E5765" s="795"/>
    </row>
    <row r="5766" spans="4:5" hidden="1">
      <c r="D5766" s="795"/>
      <c r="E5766" s="795"/>
    </row>
    <row r="5767" spans="4:5" hidden="1">
      <c r="D5767" s="795"/>
      <c r="E5767" s="795"/>
    </row>
    <row r="5768" spans="4:5" hidden="1">
      <c r="D5768" s="795"/>
      <c r="E5768" s="795"/>
    </row>
    <row r="5769" spans="4:5" hidden="1">
      <c r="D5769" s="795"/>
      <c r="E5769" s="795"/>
    </row>
    <row r="5770" spans="4:5" hidden="1">
      <c r="D5770" s="795"/>
      <c r="E5770" s="795"/>
    </row>
    <row r="5771" spans="4:5" hidden="1">
      <c r="D5771" s="795"/>
      <c r="E5771" s="795"/>
    </row>
    <row r="5772" spans="4:5" hidden="1">
      <c r="D5772" s="795"/>
      <c r="E5772" s="795"/>
    </row>
    <row r="5773" spans="4:5" hidden="1">
      <c r="D5773" s="795"/>
      <c r="E5773" s="795"/>
    </row>
    <row r="5774" spans="4:5" hidden="1">
      <c r="D5774" s="795"/>
      <c r="E5774" s="795"/>
    </row>
    <row r="5775" spans="4:5" hidden="1">
      <c r="D5775" s="795"/>
      <c r="E5775" s="795"/>
    </row>
    <row r="5776" spans="4:5" hidden="1">
      <c r="D5776" s="795"/>
      <c r="E5776" s="795"/>
    </row>
    <row r="5777" spans="4:5" hidden="1">
      <c r="D5777" s="795"/>
      <c r="E5777" s="795"/>
    </row>
    <row r="5778" spans="4:5" hidden="1">
      <c r="D5778" s="795"/>
      <c r="E5778" s="795"/>
    </row>
    <row r="5779" spans="4:5" hidden="1">
      <c r="D5779" s="795"/>
      <c r="E5779" s="795"/>
    </row>
    <row r="5780" spans="4:5" hidden="1">
      <c r="D5780" s="795"/>
      <c r="E5780" s="795"/>
    </row>
    <row r="5781" spans="4:5" hidden="1">
      <c r="D5781" s="795"/>
      <c r="E5781" s="795"/>
    </row>
    <row r="5782" spans="4:5" hidden="1">
      <c r="D5782" s="795"/>
      <c r="E5782" s="795"/>
    </row>
    <row r="5783" spans="4:5" hidden="1">
      <c r="D5783" s="795"/>
      <c r="E5783" s="795"/>
    </row>
    <row r="5784" spans="4:5" hidden="1">
      <c r="D5784" s="795"/>
      <c r="E5784" s="795"/>
    </row>
    <row r="5785" spans="4:5" hidden="1">
      <c r="D5785" s="795"/>
      <c r="E5785" s="795"/>
    </row>
    <row r="5786" spans="4:5" hidden="1">
      <c r="D5786" s="795"/>
      <c r="E5786" s="795"/>
    </row>
    <row r="5787" spans="4:5" hidden="1">
      <c r="D5787" s="795"/>
      <c r="E5787" s="795"/>
    </row>
    <row r="5788" spans="4:5" hidden="1">
      <c r="D5788" s="795"/>
      <c r="E5788" s="795"/>
    </row>
    <row r="5789" spans="4:5" hidden="1">
      <c r="D5789" s="795"/>
      <c r="E5789" s="795"/>
    </row>
    <row r="5790" spans="4:5" hidden="1">
      <c r="D5790" s="795"/>
      <c r="E5790" s="795"/>
    </row>
    <row r="5791" spans="4:5" hidden="1">
      <c r="D5791" s="795"/>
      <c r="E5791" s="795"/>
    </row>
    <row r="5792" spans="4:5" hidden="1">
      <c r="D5792" s="795"/>
      <c r="E5792" s="795"/>
    </row>
    <row r="5793" spans="4:5" hidden="1">
      <c r="D5793" s="795"/>
      <c r="E5793" s="795"/>
    </row>
    <row r="5794" spans="4:5" hidden="1">
      <c r="D5794" s="795"/>
      <c r="E5794" s="795"/>
    </row>
    <row r="5795" spans="4:5" hidden="1">
      <c r="D5795" s="795"/>
      <c r="E5795" s="795"/>
    </row>
    <row r="5796" spans="4:5" hidden="1">
      <c r="D5796" s="795"/>
      <c r="E5796" s="795"/>
    </row>
    <row r="5797" spans="4:5" hidden="1">
      <c r="D5797" s="795"/>
      <c r="E5797" s="795"/>
    </row>
    <row r="5798" spans="4:5" hidden="1">
      <c r="D5798" s="795"/>
      <c r="E5798" s="795"/>
    </row>
    <row r="5799" spans="4:5" hidden="1">
      <c r="D5799" s="795"/>
      <c r="E5799" s="795"/>
    </row>
    <row r="5800" spans="4:5" hidden="1">
      <c r="D5800" s="795"/>
      <c r="E5800" s="795"/>
    </row>
    <row r="5801" spans="4:5" hidden="1">
      <c r="D5801" s="795"/>
      <c r="E5801" s="795"/>
    </row>
    <row r="5802" spans="4:5" hidden="1">
      <c r="D5802" s="795"/>
      <c r="E5802" s="795"/>
    </row>
    <row r="5803" spans="4:5" hidden="1">
      <c r="D5803" s="795"/>
      <c r="E5803" s="795"/>
    </row>
    <row r="5804" spans="4:5" hidden="1">
      <c r="D5804" s="795"/>
      <c r="E5804" s="795"/>
    </row>
    <row r="5805" spans="4:5" hidden="1">
      <c r="D5805" s="795"/>
      <c r="E5805" s="795"/>
    </row>
    <row r="5806" spans="4:5" hidden="1">
      <c r="D5806" s="795"/>
      <c r="E5806" s="795"/>
    </row>
    <row r="5807" spans="4:5" hidden="1">
      <c r="D5807" s="795"/>
      <c r="E5807" s="795"/>
    </row>
    <row r="5808" spans="4:5" hidden="1">
      <c r="D5808" s="795"/>
      <c r="E5808" s="795"/>
    </row>
    <row r="5809" spans="4:5" hidden="1">
      <c r="D5809" s="795"/>
      <c r="E5809" s="795"/>
    </row>
    <row r="5810" spans="4:5" hidden="1">
      <c r="D5810" s="795"/>
      <c r="E5810" s="795"/>
    </row>
    <row r="5811" spans="4:5" hidden="1">
      <c r="D5811" s="795"/>
      <c r="E5811" s="795"/>
    </row>
    <row r="5812" spans="4:5" hidden="1">
      <c r="D5812" s="795"/>
      <c r="E5812" s="795"/>
    </row>
    <row r="5813" spans="4:5" hidden="1">
      <c r="D5813" s="795"/>
      <c r="E5813" s="795"/>
    </row>
    <row r="5814" spans="4:5" hidden="1">
      <c r="D5814" s="795"/>
      <c r="E5814" s="795"/>
    </row>
    <row r="5815" spans="4:5" hidden="1">
      <c r="D5815" s="795"/>
      <c r="E5815" s="795"/>
    </row>
    <row r="5816" spans="4:5" hidden="1">
      <c r="D5816" s="795"/>
      <c r="E5816" s="795"/>
    </row>
    <row r="5817" spans="4:5" hidden="1">
      <c r="D5817" s="795"/>
      <c r="E5817" s="795"/>
    </row>
    <row r="5818" spans="4:5" hidden="1">
      <c r="D5818" s="795"/>
      <c r="E5818" s="795"/>
    </row>
    <row r="5819" spans="4:5" hidden="1">
      <c r="D5819" s="795"/>
      <c r="E5819" s="795"/>
    </row>
    <row r="5820" spans="4:5" hidden="1">
      <c r="D5820" s="795"/>
      <c r="E5820" s="795"/>
    </row>
    <row r="5821" spans="4:5" hidden="1">
      <c r="D5821" s="795"/>
      <c r="E5821" s="795"/>
    </row>
    <row r="5822" spans="4:5" hidden="1">
      <c r="D5822" s="795"/>
      <c r="E5822" s="795"/>
    </row>
    <row r="5823" spans="4:5" hidden="1">
      <c r="D5823" s="795"/>
      <c r="E5823" s="795"/>
    </row>
    <row r="5824" spans="4:5" hidden="1">
      <c r="D5824" s="795"/>
      <c r="E5824" s="795"/>
    </row>
    <row r="5825" spans="4:5" hidden="1">
      <c r="D5825" s="795"/>
      <c r="E5825" s="795"/>
    </row>
    <row r="5826" spans="4:5" hidden="1">
      <c r="D5826" s="795"/>
      <c r="E5826" s="795"/>
    </row>
    <row r="5827" spans="4:5" hidden="1">
      <c r="D5827" s="795"/>
      <c r="E5827" s="795"/>
    </row>
    <row r="5828" spans="4:5" hidden="1">
      <c r="D5828" s="795"/>
      <c r="E5828" s="795"/>
    </row>
    <row r="5829" spans="4:5" hidden="1">
      <c r="D5829" s="795"/>
      <c r="E5829" s="795"/>
    </row>
    <row r="5830" spans="4:5" hidden="1">
      <c r="D5830" s="795"/>
      <c r="E5830" s="795"/>
    </row>
    <row r="5831" spans="4:5" hidden="1">
      <c r="D5831" s="795"/>
      <c r="E5831" s="795"/>
    </row>
    <row r="5832" spans="4:5" hidden="1">
      <c r="D5832" s="795"/>
      <c r="E5832" s="795"/>
    </row>
    <row r="5833" spans="4:5" hidden="1">
      <c r="D5833" s="795"/>
      <c r="E5833" s="795"/>
    </row>
    <row r="5834" spans="4:5" hidden="1">
      <c r="D5834" s="795"/>
      <c r="E5834" s="795"/>
    </row>
    <row r="5835" spans="4:5" hidden="1">
      <c r="D5835" s="795"/>
      <c r="E5835" s="795"/>
    </row>
    <row r="5836" spans="4:5" hidden="1">
      <c r="D5836" s="795"/>
      <c r="E5836" s="795"/>
    </row>
    <row r="5837" spans="4:5" hidden="1">
      <c r="D5837" s="795"/>
      <c r="E5837" s="795"/>
    </row>
    <row r="5838" spans="4:5" hidden="1">
      <c r="D5838" s="795"/>
      <c r="E5838" s="795"/>
    </row>
    <row r="5839" spans="4:5" hidden="1">
      <c r="D5839" s="795"/>
      <c r="E5839" s="795"/>
    </row>
    <row r="5840" spans="4:5" hidden="1">
      <c r="D5840" s="795"/>
      <c r="E5840" s="795"/>
    </row>
    <row r="5841" spans="4:5" hidden="1">
      <c r="D5841" s="795"/>
      <c r="E5841" s="795"/>
    </row>
    <row r="5842" spans="4:5" hidden="1">
      <c r="D5842" s="795"/>
      <c r="E5842" s="795"/>
    </row>
    <row r="5843" spans="4:5" hidden="1">
      <c r="D5843" s="795"/>
      <c r="E5843" s="795"/>
    </row>
    <row r="5844" spans="4:5" hidden="1">
      <c r="D5844" s="795"/>
      <c r="E5844" s="795"/>
    </row>
    <row r="5845" spans="4:5" hidden="1">
      <c r="D5845" s="795"/>
      <c r="E5845" s="795"/>
    </row>
    <row r="5846" spans="4:5" hidden="1">
      <c r="D5846" s="795"/>
      <c r="E5846" s="795"/>
    </row>
    <row r="5847" spans="4:5" hidden="1">
      <c r="D5847" s="795"/>
      <c r="E5847" s="795"/>
    </row>
    <row r="5848" spans="4:5" hidden="1">
      <c r="D5848" s="795"/>
      <c r="E5848" s="795"/>
    </row>
    <row r="5849" spans="4:5" hidden="1">
      <c r="D5849" s="795"/>
      <c r="E5849" s="795"/>
    </row>
    <row r="5850" spans="4:5" hidden="1">
      <c r="D5850" s="795"/>
      <c r="E5850" s="795"/>
    </row>
    <row r="5851" spans="4:5" hidden="1">
      <c r="D5851" s="795"/>
      <c r="E5851" s="795"/>
    </row>
    <row r="5852" spans="4:5" hidden="1">
      <c r="D5852" s="795"/>
      <c r="E5852" s="795"/>
    </row>
    <row r="5853" spans="4:5" hidden="1">
      <c r="D5853" s="795"/>
      <c r="E5853" s="795"/>
    </row>
    <row r="5854" spans="4:5" hidden="1">
      <c r="D5854" s="795"/>
      <c r="E5854" s="795"/>
    </row>
    <row r="5855" spans="4:5" hidden="1">
      <c r="D5855" s="795"/>
      <c r="E5855" s="795"/>
    </row>
    <row r="5856" spans="4:5" hidden="1">
      <c r="D5856" s="795"/>
      <c r="E5856" s="795"/>
    </row>
    <row r="5857" spans="4:5" hidden="1">
      <c r="D5857" s="795"/>
      <c r="E5857" s="795"/>
    </row>
    <row r="5858" spans="4:5" hidden="1">
      <c r="D5858" s="795"/>
      <c r="E5858" s="795"/>
    </row>
    <row r="5859" spans="4:5" hidden="1">
      <c r="D5859" s="795"/>
      <c r="E5859" s="795"/>
    </row>
    <row r="5860" spans="4:5" hidden="1">
      <c r="D5860" s="795"/>
      <c r="E5860" s="795"/>
    </row>
    <row r="5861" spans="4:5" hidden="1">
      <c r="D5861" s="795"/>
      <c r="E5861" s="795"/>
    </row>
    <row r="5862" spans="4:5" hidden="1">
      <c r="D5862" s="795"/>
      <c r="E5862" s="795"/>
    </row>
    <row r="5863" spans="4:5" hidden="1">
      <c r="D5863" s="795"/>
      <c r="E5863" s="795"/>
    </row>
    <row r="5864" spans="4:5" hidden="1">
      <c r="D5864" s="795"/>
      <c r="E5864" s="795"/>
    </row>
    <row r="5865" spans="4:5" hidden="1">
      <c r="D5865" s="795"/>
      <c r="E5865" s="795"/>
    </row>
    <row r="5866" spans="4:5" hidden="1">
      <c r="D5866" s="795"/>
      <c r="E5866" s="795"/>
    </row>
    <row r="5867" spans="4:5" hidden="1">
      <c r="D5867" s="795"/>
      <c r="E5867" s="795"/>
    </row>
    <row r="5868" spans="4:5" hidden="1">
      <c r="D5868" s="795"/>
      <c r="E5868" s="795"/>
    </row>
    <row r="5869" spans="4:5" hidden="1">
      <c r="D5869" s="795"/>
      <c r="E5869" s="795"/>
    </row>
    <row r="5870" spans="4:5" hidden="1">
      <c r="D5870" s="795"/>
      <c r="E5870" s="795"/>
    </row>
    <row r="5871" spans="4:5" hidden="1">
      <c r="D5871" s="795"/>
      <c r="E5871" s="795"/>
    </row>
    <row r="5872" spans="4:5" hidden="1">
      <c r="D5872" s="795"/>
      <c r="E5872" s="795"/>
    </row>
    <row r="5873" spans="4:5" hidden="1">
      <c r="D5873" s="795"/>
      <c r="E5873" s="795"/>
    </row>
    <row r="5874" spans="4:5" hidden="1">
      <c r="D5874" s="795"/>
      <c r="E5874" s="795"/>
    </row>
    <row r="5875" spans="4:5" hidden="1">
      <c r="D5875" s="795"/>
      <c r="E5875" s="795"/>
    </row>
    <row r="5876" spans="4:5" hidden="1">
      <c r="D5876" s="795"/>
      <c r="E5876" s="795"/>
    </row>
    <row r="5877" spans="4:5" hidden="1">
      <c r="D5877" s="795"/>
      <c r="E5877" s="795"/>
    </row>
    <row r="5878" spans="4:5" hidden="1">
      <c r="D5878" s="795"/>
      <c r="E5878" s="795"/>
    </row>
    <row r="5879" spans="4:5" hidden="1">
      <c r="D5879" s="795"/>
      <c r="E5879" s="795"/>
    </row>
    <row r="5880" spans="4:5" hidden="1">
      <c r="D5880" s="795"/>
      <c r="E5880" s="795"/>
    </row>
    <row r="5881" spans="4:5" hidden="1">
      <c r="D5881" s="795"/>
      <c r="E5881" s="795"/>
    </row>
    <row r="5882" spans="4:5" hidden="1">
      <c r="D5882" s="795"/>
      <c r="E5882" s="795"/>
    </row>
    <row r="5883" spans="4:5" hidden="1">
      <c r="D5883" s="795"/>
      <c r="E5883" s="795"/>
    </row>
    <row r="5884" spans="4:5" hidden="1">
      <c r="D5884" s="795"/>
      <c r="E5884" s="795"/>
    </row>
    <row r="5885" spans="4:5" hidden="1">
      <c r="D5885" s="795"/>
      <c r="E5885" s="795"/>
    </row>
    <row r="5886" spans="4:5" hidden="1">
      <c r="D5886" s="795"/>
      <c r="E5886" s="795"/>
    </row>
    <row r="5887" spans="4:5" hidden="1">
      <c r="D5887" s="795"/>
      <c r="E5887" s="795"/>
    </row>
    <row r="5888" spans="4:5" hidden="1">
      <c r="D5888" s="795"/>
      <c r="E5888" s="795"/>
    </row>
    <row r="5889" spans="4:5" hidden="1">
      <c r="D5889" s="795"/>
      <c r="E5889" s="795"/>
    </row>
    <row r="5890" spans="4:5" hidden="1">
      <c r="D5890" s="795"/>
      <c r="E5890" s="795"/>
    </row>
    <row r="5891" spans="4:5" hidden="1">
      <c r="D5891" s="795"/>
      <c r="E5891" s="795"/>
    </row>
    <row r="5892" spans="4:5" hidden="1">
      <c r="D5892" s="795"/>
      <c r="E5892" s="795"/>
    </row>
    <row r="5893" spans="4:5" hidden="1">
      <c r="D5893" s="795"/>
      <c r="E5893" s="795"/>
    </row>
    <row r="5894" spans="4:5" hidden="1">
      <c r="D5894" s="795"/>
      <c r="E5894" s="795"/>
    </row>
    <row r="5895" spans="4:5" hidden="1">
      <c r="D5895" s="795"/>
      <c r="E5895" s="795"/>
    </row>
    <row r="5896" spans="4:5" hidden="1">
      <c r="D5896" s="795"/>
      <c r="E5896" s="795"/>
    </row>
    <row r="5897" spans="4:5" hidden="1">
      <c r="D5897" s="795"/>
      <c r="E5897" s="795"/>
    </row>
    <row r="5898" spans="4:5" hidden="1">
      <c r="D5898" s="795"/>
      <c r="E5898" s="795"/>
    </row>
    <row r="5899" spans="4:5" hidden="1">
      <c r="D5899" s="795"/>
      <c r="E5899" s="795"/>
    </row>
    <row r="5900" spans="4:5" hidden="1">
      <c r="D5900" s="795"/>
      <c r="E5900" s="795"/>
    </row>
    <row r="5901" spans="4:5" hidden="1">
      <c r="D5901" s="795"/>
      <c r="E5901" s="795"/>
    </row>
    <row r="5902" spans="4:5" hidden="1">
      <c r="D5902" s="795"/>
      <c r="E5902" s="795"/>
    </row>
    <row r="5903" spans="4:5" hidden="1">
      <c r="D5903" s="795"/>
      <c r="E5903" s="795"/>
    </row>
    <row r="5904" spans="4:5" hidden="1">
      <c r="D5904" s="795"/>
      <c r="E5904" s="795"/>
    </row>
    <row r="5905" spans="4:5" hidden="1">
      <c r="D5905" s="795"/>
      <c r="E5905" s="795"/>
    </row>
    <row r="5906" spans="4:5" hidden="1">
      <c r="D5906" s="795"/>
      <c r="E5906" s="795"/>
    </row>
    <row r="5907" spans="4:5" hidden="1">
      <c r="D5907" s="795"/>
      <c r="E5907" s="795"/>
    </row>
    <row r="5908" spans="4:5" hidden="1">
      <c r="D5908" s="795"/>
      <c r="E5908" s="795"/>
    </row>
    <row r="5909" spans="4:5" hidden="1">
      <c r="D5909" s="795"/>
      <c r="E5909" s="795"/>
    </row>
    <row r="5910" spans="4:5" hidden="1">
      <c r="D5910" s="795"/>
      <c r="E5910" s="795"/>
    </row>
    <row r="5911" spans="4:5" hidden="1">
      <c r="D5911" s="795"/>
      <c r="E5911" s="795"/>
    </row>
    <row r="5912" spans="4:5" hidden="1">
      <c r="D5912" s="795"/>
      <c r="E5912" s="795"/>
    </row>
    <row r="5913" spans="4:5" hidden="1">
      <c r="D5913" s="795"/>
      <c r="E5913" s="795"/>
    </row>
    <row r="5914" spans="4:5" hidden="1">
      <c r="D5914" s="795"/>
      <c r="E5914" s="795"/>
    </row>
    <row r="5915" spans="4:5" hidden="1">
      <c r="D5915" s="795"/>
      <c r="E5915" s="795"/>
    </row>
    <row r="5916" spans="4:5" hidden="1">
      <c r="D5916" s="795"/>
      <c r="E5916" s="795"/>
    </row>
    <row r="5917" spans="4:5" hidden="1">
      <c r="D5917" s="795"/>
      <c r="E5917" s="795"/>
    </row>
    <row r="5918" spans="4:5" hidden="1">
      <c r="D5918" s="795"/>
      <c r="E5918" s="795"/>
    </row>
    <row r="5919" spans="4:5" hidden="1">
      <c r="D5919" s="795"/>
      <c r="E5919" s="795"/>
    </row>
    <row r="5920" spans="4:5" hidden="1">
      <c r="D5920" s="795"/>
      <c r="E5920" s="795"/>
    </row>
    <row r="5921" spans="4:5" hidden="1">
      <c r="D5921" s="795"/>
      <c r="E5921" s="795"/>
    </row>
    <row r="5922" spans="4:5" hidden="1">
      <c r="D5922" s="795"/>
      <c r="E5922" s="795"/>
    </row>
    <row r="5923" spans="4:5" hidden="1">
      <c r="D5923" s="795"/>
      <c r="E5923" s="795"/>
    </row>
    <row r="5924" spans="4:5" hidden="1">
      <c r="D5924" s="795"/>
      <c r="E5924" s="795"/>
    </row>
    <row r="5925" spans="4:5" hidden="1">
      <c r="D5925" s="795"/>
      <c r="E5925" s="795"/>
    </row>
    <row r="5926" spans="4:5" hidden="1">
      <c r="D5926" s="795"/>
      <c r="E5926" s="795"/>
    </row>
    <row r="5927" spans="4:5" hidden="1">
      <c r="D5927" s="795"/>
      <c r="E5927" s="795"/>
    </row>
    <row r="5928" spans="4:5" hidden="1">
      <c r="D5928" s="795"/>
      <c r="E5928" s="795"/>
    </row>
    <row r="5929" spans="4:5" hidden="1">
      <c r="D5929" s="795"/>
      <c r="E5929" s="795"/>
    </row>
    <row r="5930" spans="4:5" hidden="1">
      <c r="D5930" s="795"/>
      <c r="E5930" s="795"/>
    </row>
    <row r="5931" spans="4:5" hidden="1">
      <c r="D5931" s="795"/>
      <c r="E5931" s="795"/>
    </row>
    <row r="5932" spans="4:5" hidden="1">
      <c r="D5932" s="795"/>
      <c r="E5932" s="795"/>
    </row>
    <row r="5933" spans="4:5" hidden="1">
      <c r="D5933" s="795"/>
      <c r="E5933" s="795"/>
    </row>
    <row r="5934" spans="4:5" hidden="1">
      <c r="D5934" s="795"/>
      <c r="E5934" s="795"/>
    </row>
    <row r="5935" spans="4:5" hidden="1">
      <c r="D5935" s="795"/>
      <c r="E5935" s="795"/>
    </row>
    <row r="5936" spans="4:5" hidden="1">
      <c r="D5936" s="795"/>
      <c r="E5936" s="795"/>
    </row>
    <row r="5937" spans="4:5" hidden="1">
      <c r="D5937" s="795"/>
      <c r="E5937" s="795"/>
    </row>
    <row r="5938" spans="4:5" hidden="1">
      <c r="D5938" s="795"/>
      <c r="E5938" s="795"/>
    </row>
    <row r="5939" spans="4:5" hidden="1">
      <c r="D5939" s="795"/>
      <c r="E5939" s="795"/>
    </row>
    <row r="5940" spans="4:5" hidden="1">
      <c r="D5940" s="795"/>
      <c r="E5940" s="795"/>
    </row>
    <row r="5941" spans="4:5" hidden="1">
      <c r="D5941" s="795"/>
      <c r="E5941" s="795"/>
    </row>
    <row r="5942" spans="4:5" hidden="1">
      <c r="D5942" s="795"/>
      <c r="E5942" s="795"/>
    </row>
    <row r="5943" spans="4:5" hidden="1">
      <c r="D5943" s="795"/>
      <c r="E5943" s="795"/>
    </row>
    <row r="5944" spans="4:5" hidden="1">
      <c r="D5944" s="795"/>
      <c r="E5944" s="795"/>
    </row>
    <row r="5945" spans="4:5" hidden="1">
      <c r="D5945" s="795"/>
      <c r="E5945" s="795"/>
    </row>
    <row r="5946" spans="4:5" hidden="1">
      <c r="D5946" s="795"/>
      <c r="E5946" s="795"/>
    </row>
    <row r="5947" spans="4:5" hidden="1">
      <c r="D5947" s="795"/>
      <c r="E5947" s="795"/>
    </row>
    <row r="5948" spans="4:5" hidden="1">
      <c r="D5948" s="795"/>
      <c r="E5948" s="795"/>
    </row>
    <row r="5949" spans="4:5" hidden="1">
      <c r="D5949" s="795"/>
      <c r="E5949" s="795"/>
    </row>
    <row r="5950" spans="4:5" hidden="1">
      <c r="D5950" s="795"/>
      <c r="E5950" s="795"/>
    </row>
    <row r="5951" spans="4:5" hidden="1">
      <c r="D5951" s="795"/>
      <c r="E5951" s="795"/>
    </row>
    <row r="5952" spans="4:5" hidden="1">
      <c r="D5952" s="795"/>
      <c r="E5952" s="795"/>
    </row>
    <row r="5953" spans="4:5" hidden="1">
      <c r="D5953" s="795"/>
      <c r="E5953" s="795"/>
    </row>
    <row r="5954" spans="4:5" hidden="1">
      <c r="D5954" s="795"/>
      <c r="E5954" s="795"/>
    </row>
    <row r="5955" spans="4:5" hidden="1">
      <c r="D5955" s="795"/>
      <c r="E5955" s="795"/>
    </row>
    <row r="5956" spans="4:5" hidden="1">
      <c r="D5956" s="795"/>
      <c r="E5956" s="795"/>
    </row>
    <row r="5957" spans="4:5" hidden="1">
      <c r="D5957" s="795"/>
      <c r="E5957" s="795"/>
    </row>
    <row r="5958" spans="4:5" hidden="1">
      <c r="D5958" s="795"/>
      <c r="E5958" s="795"/>
    </row>
    <row r="5959" spans="4:5" hidden="1">
      <c r="D5959" s="795"/>
      <c r="E5959" s="795"/>
    </row>
    <row r="5960" spans="4:5" hidden="1">
      <c r="D5960" s="795"/>
      <c r="E5960" s="795"/>
    </row>
    <row r="5961" spans="4:5" hidden="1">
      <c r="D5961" s="795"/>
      <c r="E5961" s="795"/>
    </row>
    <row r="5962" spans="4:5" hidden="1">
      <c r="D5962" s="795"/>
      <c r="E5962" s="795"/>
    </row>
    <row r="5963" spans="4:5" hidden="1">
      <c r="D5963" s="795"/>
      <c r="E5963" s="795"/>
    </row>
    <row r="5964" spans="4:5" hidden="1">
      <c r="D5964" s="795"/>
      <c r="E5964" s="795"/>
    </row>
    <row r="5965" spans="4:5" hidden="1">
      <c r="D5965" s="795"/>
      <c r="E5965" s="795"/>
    </row>
    <row r="5966" spans="4:5" hidden="1">
      <c r="D5966" s="795"/>
      <c r="E5966" s="795"/>
    </row>
    <row r="5967" spans="4:5" hidden="1">
      <c r="D5967" s="795"/>
      <c r="E5967" s="795"/>
    </row>
    <row r="5968" spans="4:5" hidden="1">
      <c r="D5968" s="795"/>
      <c r="E5968" s="795"/>
    </row>
    <row r="5969" spans="4:5" hidden="1">
      <c r="D5969" s="795"/>
      <c r="E5969" s="795"/>
    </row>
    <row r="5970" spans="4:5" hidden="1">
      <c r="D5970" s="795"/>
      <c r="E5970" s="795"/>
    </row>
    <row r="5971" spans="4:5" hidden="1">
      <c r="D5971" s="795"/>
      <c r="E5971" s="795"/>
    </row>
    <row r="5972" spans="4:5" hidden="1">
      <c r="D5972" s="795"/>
      <c r="E5972" s="795"/>
    </row>
    <row r="5973" spans="4:5" hidden="1">
      <c r="D5973" s="795"/>
      <c r="E5973" s="795"/>
    </row>
    <row r="5974" spans="4:5" hidden="1">
      <c r="D5974" s="795"/>
      <c r="E5974" s="795"/>
    </row>
    <row r="5975" spans="4:5" hidden="1">
      <c r="D5975" s="795"/>
      <c r="E5975" s="795"/>
    </row>
    <row r="5976" spans="4:5" hidden="1">
      <c r="D5976" s="795"/>
      <c r="E5976" s="795"/>
    </row>
    <row r="5977" spans="4:5" hidden="1">
      <c r="D5977" s="795"/>
      <c r="E5977" s="795"/>
    </row>
    <row r="5978" spans="4:5" hidden="1">
      <c r="D5978" s="795"/>
      <c r="E5978" s="795"/>
    </row>
    <row r="5979" spans="4:5" hidden="1">
      <c r="D5979" s="795"/>
      <c r="E5979" s="795"/>
    </row>
    <row r="5980" spans="4:5" hidden="1">
      <c r="D5980" s="795"/>
      <c r="E5980" s="795"/>
    </row>
    <row r="5981" spans="4:5" hidden="1">
      <c r="D5981" s="795"/>
      <c r="E5981" s="795"/>
    </row>
    <row r="5982" spans="4:5" hidden="1">
      <c r="D5982" s="795"/>
      <c r="E5982" s="795"/>
    </row>
    <row r="5983" spans="4:5" hidden="1">
      <c r="D5983" s="795"/>
      <c r="E5983" s="795"/>
    </row>
    <row r="5984" spans="4:5" hidden="1">
      <c r="D5984" s="795"/>
      <c r="E5984" s="795"/>
    </row>
    <row r="5985" spans="4:5" hidden="1">
      <c r="D5985" s="795"/>
      <c r="E5985" s="795"/>
    </row>
    <row r="5986" spans="4:5" hidden="1">
      <c r="D5986" s="795"/>
      <c r="E5986" s="795"/>
    </row>
    <row r="5987" spans="4:5" hidden="1">
      <c r="D5987" s="795"/>
      <c r="E5987" s="795"/>
    </row>
    <row r="5988" spans="4:5" hidden="1">
      <c r="D5988" s="795"/>
      <c r="E5988" s="795"/>
    </row>
    <row r="5989" spans="4:5" hidden="1">
      <c r="D5989" s="795"/>
      <c r="E5989" s="795"/>
    </row>
    <row r="5990" spans="4:5" hidden="1">
      <c r="D5990" s="795"/>
      <c r="E5990" s="795"/>
    </row>
    <row r="5991" spans="4:5" hidden="1">
      <c r="D5991" s="795"/>
      <c r="E5991" s="795"/>
    </row>
    <row r="5992" spans="4:5" hidden="1">
      <c r="D5992" s="795"/>
      <c r="E5992" s="795"/>
    </row>
    <row r="5993" spans="4:5" hidden="1">
      <c r="D5993" s="795"/>
      <c r="E5993" s="795"/>
    </row>
    <row r="5994" spans="4:5" hidden="1">
      <c r="D5994" s="795"/>
      <c r="E5994" s="795"/>
    </row>
    <row r="5995" spans="4:5" hidden="1">
      <c r="D5995" s="795"/>
      <c r="E5995" s="795"/>
    </row>
    <row r="5996" spans="4:5" hidden="1">
      <c r="D5996" s="795"/>
      <c r="E5996" s="795"/>
    </row>
    <row r="5997" spans="4:5" hidden="1">
      <c r="D5997" s="795"/>
      <c r="E5997" s="795"/>
    </row>
    <row r="5998" spans="4:5" hidden="1">
      <c r="D5998" s="795"/>
      <c r="E5998" s="795"/>
    </row>
    <row r="5999" spans="4:5" hidden="1">
      <c r="D5999" s="795"/>
      <c r="E5999" s="795"/>
    </row>
    <row r="6000" spans="4:5" hidden="1">
      <c r="D6000" s="795"/>
      <c r="E6000" s="795"/>
    </row>
    <row r="6001" spans="4:5" hidden="1">
      <c r="D6001" s="795"/>
      <c r="E6001" s="795"/>
    </row>
    <row r="6002" spans="4:5" hidden="1">
      <c r="D6002" s="795"/>
      <c r="E6002" s="795"/>
    </row>
    <row r="6003" spans="4:5" hidden="1">
      <c r="D6003" s="795"/>
      <c r="E6003" s="795"/>
    </row>
    <row r="6004" spans="4:5" hidden="1">
      <c r="D6004" s="795"/>
      <c r="E6004" s="795"/>
    </row>
    <row r="6005" spans="4:5" hidden="1">
      <c r="D6005" s="795"/>
      <c r="E6005" s="795"/>
    </row>
    <row r="6006" spans="4:5" hidden="1">
      <c r="D6006" s="795"/>
      <c r="E6006" s="795"/>
    </row>
    <row r="6007" spans="4:5" hidden="1">
      <c r="D6007" s="795"/>
      <c r="E6007" s="795"/>
    </row>
    <row r="6008" spans="4:5" hidden="1">
      <c r="D6008" s="795"/>
      <c r="E6008" s="795"/>
    </row>
    <row r="6009" spans="4:5" hidden="1">
      <c r="D6009" s="795"/>
      <c r="E6009" s="795"/>
    </row>
    <row r="6010" spans="4:5" hidden="1">
      <c r="D6010" s="795"/>
      <c r="E6010" s="795"/>
    </row>
    <row r="6011" spans="4:5" hidden="1">
      <c r="D6011" s="795"/>
      <c r="E6011" s="795"/>
    </row>
    <row r="6012" spans="4:5" hidden="1">
      <c r="D6012" s="795"/>
      <c r="E6012" s="795"/>
    </row>
    <row r="6013" spans="4:5" hidden="1">
      <c r="D6013" s="795"/>
      <c r="E6013" s="795"/>
    </row>
    <row r="6014" spans="4:5" hidden="1">
      <c r="D6014" s="795"/>
      <c r="E6014" s="795"/>
    </row>
    <row r="6015" spans="4:5" hidden="1">
      <c r="D6015" s="795"/>
      <c r="E6015" s="795"/>
    </row>
    <row r="6016" spans="4:5" hidden="1">
      <c r="D6016" s="795"/>
      <c r="E6016" s="795"/>
    </row>
    <row r="6017" spans="4:5" hidden="1">
      <c r="D6017" s="795"/>
      <c r="E6017" s="795"/>
    </row>
    <row r="6018" spans="4:5" hidden="1">
      <c r="D6018" s="795"/>
      <c r="E6018" s="795"/>
    </row>
    <row r="6019" spans="4:5" hidden="1">
      <c r="D6019" s="795"/>
      <c r="E6019" s="795"/>
    </row>
    <row r="6020" spans="4:5" hidden="1">
      <c r="D6020" s="795"/>
      <c r="E6020" s="795"/>
    </row>
    <row r="6021" spans="4:5" hidden="1">
      <c r="D6021" s="795"/>
      <c r="E6021" s="795"/>
    </row>
    <row r="6022" spans="4:5" hidden="1">
      <c r="D6022" s="795"/>
      <c r="E6022" s="795"/>
    </row>
    <row r="6023" spans="4:5" hidden="1">
      <c r="D6023" s="795"/>
      <c r="E6023" s="795"/>
    </row>
    <row r="6024" spans="4:5" hidden="1">
      <c r="D6024" s="795"/>
      <c r="E6024" s="795"/>
    </row>
    <row r="6025" spans="4:5" hidden="1">
      <c r="D6025" s="795"/>
      <c r="E6025" s="795"/>
    </row>
    <row r="6026" spans="4:5" hidden="1">
      <c r="D6026" s="795"/>
      <c r="E6026" s="795"/>
    </row>
    <row r="6027" spans="4:5" hidden="1">
      <c r="D6027" s="795"/>
      <c r="E6027" s="795"/>
    </row>
    <row r="6028" spans="4:5" hidden="1">
      <c r="D6028" s="795"/>
      <c r="E6028" s="795"/>
    </row>
    <row r="6029" spans="4:5" hidden="1">
      <c r="D6029" s="795"/>
      <c r="E6029" s="795"/>
    </row>
    <row r="6030" spans="4:5" hidden="1">
      <c r="D6030" s="795"/>
      <c r="E6030" s="795"/>
    </row>
    <row r="6031" spans="4:5" hidden="1">
      <c r="D6031" s="795"/>
      <c r="E6031" s="795"/>
    </row>
    <row r="6032" spans="4:5" hidden="1">
      <c r="D6032" s="795"/>
      <c r="E6032" s="795"/>
    </row>
    <row r="6033" spans="4:5" hidden="1">
      <c r="D6033" s="795"/>
      <c r="E6033" s="795"/>
    </row>
    <row r="6034" spans="4:5" hidden="1">
      <c r="D6034" s="795"/>
      <c r="E6034" s="795"/>
    </row>
    <row r="6035" spans="4:5" hidden="1">
      <c r="D6035" s="795"/>
      <c r="E6035" s="795"/>
    </row>
    <row r="6036" spans="4:5" hidden="1">
      <c r="D6036" s="795"/>
      <c r="E6036" s="795"/>
    </row>
    <row r="6037" spans="4:5" hidden="1">
      <c r="D6037" s="795"/>
      <c r="E6037" s="795"/>
    </row>
    <row r="6038" spans="4:5" hidden="1">
      <c r="D6038" s="795"/>
      <c r="E6038" s="795"/>
    </row>
    <row r="6039" spans="4:5" hidden="1">
      <c r="D6039" s="795"/>
      <c r="E6039" s="795"/>
    </row>
    <row r="6040" spans="4:5" hidden="1">
      <c r="D6040" s="795"/>
      <c r="E6040" s="795"/>
    </row>
    <row r="6041" spans="4:5" hidden="1">
      <c r="D6041" s="795"/>
      <c r="E6041" s="795"/>
    </row>
    <row r="6042" spans="4:5" hidden="1">
      <c r="D6042" s="795"/>
      <c r="E6042" s="795"/>
    </row>
    <row r="6043" spans="4:5" hidden="1">
      <c r="D6043" s="795"/>
      <c r="E6043" s="795"/>
    </row>
    <row r="6044" spans="4:5" hidden="1">
      <c r="D6044" s="795"/>
      <c r="E6044" s="795"/>
    </row>
    <row r="6045" spans="4:5" hidden="1">
      <c r="D6045" s="795"/>
      <c r="E6045" s="795"/>
    </row>
    <row r="6046" spans="4:5" hidden="1">
      <c r="D6046" s="795"/>
      <c r="E6046" s="795"/>
    </row>
    <row r="6047" spans="4:5" hidden="1">
      <c r="D6047" s="795"/>
      <c r="E6047" s="795"/>
    </row>
    <row r="6048" spans="4:5" hidden="1">
      <c r="D6048" s="795"/>
      <c r="E6048" s="795"/>
    </row>
    <row r="6049" spans="4:5" hidden="1">
      <c r="D6049" s="795"/>
      <c r="E6049" s="795"/>
    </row>
    <row r="6050" spans="4:5" hidden="1">
      <c r="D6050" s="795"/>
      <c r="E6050" s="795"/>
    </row>
    <row r="6051" spans="4:5" hidden="1">
      <c r="D6051" s="795"/>
      <c r="E6051" s="795"/>
    </row>
    <row r="6052" spans="4:5" hidden="1">
      <c r="D6052" s="795"/>
      <c r="E6052" s="795"/>
    </row>
    <row r="6053" spans="4:5" hidden="1">
      <c r="D6053" s="795"/>
      <c r="E6053" s="795"/>
    </row>
    <row r="6054" spans="4:5" hidden="1">
      <c r="D6054" s="795"/>
      <c r="E6054" s="795"/>
    </row>
    <row r="6055" spans="4:5" hidden="1">
      <c r="D6055" s="795"/>
      <c r="E6055" s="795"/>
    </row>
    <row r="6056" spans="4:5" hidden="1">
      <c r="D6056" s="795"/>
      <c r="E6056" s="795"/>
    </row>
    <row r="6057" spans="4:5" hidden="1">
      <c r="D6057" s="795"/>
      <c r="E6057" s="795"/>
    </row>
    <row r="6058" spans="4:5" hidden="1">
      <c r="D6058" s="795"/>
      <c r="E6058" s="795"/>
    </row>
    <row r="6059" spans="4:5" hidden="1">
      <c r="D6059" s="795"/>
      <c r="E6059" s="795"/>
    </row>
    <row r="6060" spans="4:5" hidden="1">
      <c r="D6060" s="795"/>
      <c r="E6060" s="795"/>
    </row>
    <row r="6061" spans="4:5" hidden="1">
      <c r="D6061" s="795"/>
      <c r="E6061" s="795"/>
    </row>
    <row r="6062" spans="4:5" hidden="1">
      <c r="D6062" s="795"/>
      <c r="E6062" s="795"/>
    </row>
    <row r="6063" spans="4:5" hidden="1">
      <c r="D6063" s="795"/>
      <c r="E6063" s="795"/>
    </row>
    <row r="6064" spans="4:5" hidden="1">
      <c r="D6064" s="795"/>
      <c r="E6064" s="795"/>
    </row>
    <row r="6065" spans="4:5" hidden="1">
      <c r="D6065" s="795"/>
      <c r="E6065" s="795"/>
    </row>
    <row r="6066" spans="4:5" hidden="1">
      <c r="D6066" s="795"/>
      <c r="E6066" s="795"/>
    </row>
    <row r="6067" spans="4:5" hidden="1">
      <c r="D6067" s="795"/>
      <c r="E6067" s="795"/>
    </row>
    <row r="6068" spans="4:5" hidden="1">
      <c r="D6068" s="795"/>
      <c r="E6068" s="795"/>
    </row>
    <row r="6069" spans="4:5" hidden="1">
      <c r="D6069" s="795"/>
      <c r="E6069" s="795"/>
    </row>
    <row r="6070" spans="4:5" hidden="1">
      <c r="D6070" s="795"/>
      <c r="E6070" s="795"/>
    </row>
    <row r="6071" spans="4:5" hidden="1">
      <c r="D6071" s="795"/>
      <c r="E6071" s="795"/>
    </row>
    <row r="6072" spans="4:5" hidden="1">
      <c r="D6072" s="795"/>
      <c r="E6072" s="795"/>
    </row>
    <row r="6073" spans="4:5" hidden="1">
      <c r="D6073" s="795"/>
      <c r="E6073" s="795"/>
    </row>
    <row r="6074" spans="4:5" hidden="1">
      <c r="D6074" s="795"/>
      <c r="E6074" s="795"/>
    </row>
    <row r="6075" spans="4:5" hidden="1">
      <c r="D6075" s="795"/>
      <c r="E6075" s="795"/>
    </row>
    <row r="6076" spans="4:5" hidden="1">
      <c r="D6076" s="795"/>
      <c r="E6076" s="795"/>
    </row>
    <row r="6077" spans="4:5" hidden="1">
      <c r="D6077" s="795"/>
      <c r="E6077" s="795"/>
    </row>
    <row r="6078" spans="4:5" hidden="1">
      <c r="D6078" s="795"/>
      <c r="E6078" s="795"/>
    </row>
    <row r="6079" spans="4:5" hidden="1">
      <c r="D6079" s="795"/>
      <c r="E6079" s="795"/>
    </row>
    <row r="6080" spans="4:5" hidden="1">
      <c r="D6080" s="795"/>
      <c r="E6080" s="795"/>
    </row>
    <row r="6081" spans="4:5" hidden="1">
      <c r="D6081" s="795"/>
      <c r="E6081" s="795"/>
    </row>
    <row r="6082" spans="4:5" hidden="1">
      <c r="D6082" s="795"/>
      <c r="E6082" s="795"/>
    </row>
    <row r="6083" spans="4:5" hidden="1">
      <c r="D6083" s="795"/>
      <c r="E6083" s="795"/>
    </row>
    <row r="6084" spans="4:5" hidden="1">
      <c r="D6084" s="795"/>
      <c r="E6084" s="795"/>
    </row>
    <row r="6085" spans="4:5" hidden="1">
      <c r="D6085" s="795"/>
      <c r="E6085" s="795"/>
    </row>
    <row r="6086" spans="4:5" hidden="1">
      <c r="D6086" s="795"/>
      <c r="E6086" s="795"/>
    </row>
    <row r="6087" spans="4:5" hidden="1">
      <c r="D6087" s="795"/>
      <c r="E6087" s="795"/>
    </row>
    <row r="6088" spans="4:5" hidden="1">
      <c r="D6088" s="795"/>
      <c r="E6088" s="795"/>
    </row>
    <row r="6089" spans="4:5" hidden="1">
      <c r="D6089" s="795"/>
      <c r="E6089" s="795"/>
    </row>
    <row r="6090" spans="4:5" hidden="1">
      <c r="D6090" s="795"/>
      <c r="E6090" s="795"/>
    </row>
    <row r="6091" spans="4:5" hidden="1">
      <c r="D6091" s="795"/>
      <c r="E6091" s="795"/>
    </row>
    <row r="6092" spans="4:5" hidden="1">
      <c r="D6092" s="795"/>
      <c r="E6092" s="795"/>
    </row>
    <row r="6093" spans="4:5" hidden="1">
      <c r="D6093" s="795"/>
      <c r="E6093" s="795"/>
    </row>
    <row r="6094" spans="4:5" hidden="1">
      <c r="D6094" s="795"/>
      <c r="E6094" s="795"/>
    </row>
    <row r="6095" spans="4:5" hidden="1">
      <c r="D6095" s="795"/>
      <c r="E6095" s="795"/>
    </row>
    <row r="6096" spans="4:5" hidden="1">
      <c r="D6096" s="795"/>
      <c r="E6096" s="795"/>
    </row>
    <row r="6097" spans="4:5" hidden="1">
      <c r="D6097" s="795"/>
      <c r="E6097" s="795"/>
    </row>
    <row r="6098" spans="4:5" hidden="1">
      <c r="D6098" s="795"/>
      <c r="E6098" s="795"/>
    </row>
    <row r="6099" spans="4:5" hidden="1">
      <c r="D6099" s="795"/>
      <c r="E6099" s="795"/>
    </row>
    <row r="6100" spans="4:5" hidden="1">
      <c r="D6100" s="795"/>
      <c r="E6100" s="795"/>
    </row>
    <row r="6101" spans="4:5" hidden="1">
      <c r="D6101" s="795"/>
      <c r="E6101" s="795"/>
    </row>
    <row r="6102" spans="4:5" hidden="1">
      <c r="D6102" s="795"/>
      <c r="E6102" s="795"/>
    </row>
    <row r="6103" spans="4:5" hidden="1">
      <c r="D6103" s="795"/>
      <c r="E6103" s="795"/>
    </row>
    <row r="6104" spans="4:5" hidden="1">
      <c r="D6104" s="795"/>
      <c r="E6104" s="795"/>
    </row>
    <row r="6105" spans="4:5" hidden="1">
      <c r="D6105" s="795"/>
      <c r="E6105" s="795"/>
    </row>
    <row r="6106" spans="4:5" hidden="1">
      <c r="D6106" s="795"/>
      <c r="E6106" s="795"/>
    </row>
    <row r="6107" spans="4:5" hidden="1">
      <c r="D6107" s="795"/>
      <c r="E6107" s="795"/>
    </row>
    <row r="6108" spans="4:5" hidden="1">
      <c r="D6108" s="795"/>
      <c r="E6108" s="795"/>
    </row>
    <row r="6109" spans="4:5" hidden="1">
      <c r="D6109" s="795"/>
      <c r="E6109" s="795"/>
    </row>
    <row r="6110" spans="4:5" hidden="1">
      <c r="D6110" s="795"/>
      <c r="E6110" s="795"/>
    </row>
    <row r="6111" spans="4:5" hidden="1">
      <c r="D6111" s="795"/>
      <c r="E6111" s="795"/>
    </row>
    <row r="6112" spans="4:5" hidden="1">
      <c r="D6112" s="795"/>
      <c r="E6112" s="795"/>
    </row>
    <row r="6113" spans="4:5" hidden="1">
      <c r="D6113" s="795"/>
      <c r="E6113" s="795"/>
    </row>
    <row r="6114" spans="4:5" hidden="1">
      <c r="D6114" s="795"/>
      <c r="E6114" s="795"/>
    </row>
    <row r="6115" spans="4:5" hidden="1">
      <c r="D6115" s="795"/>
      <c r="E6115" s="795"/>
    </row>
    <row r="6116" spans="4:5" hidden="1">
      <c r="D6116" s="795"/>
      <c r="E6116" s="795"/>
    </row>
    <row r="6117" spans="4:5" hidden="1">
      <c r="D6117" s="795"/>
      <c r="E6117" s="795"/>
    </row>
    <row r="6118" spans="4:5" hidden="1">
      <c r="D6118" s="795"/>
      <c r="E6118" s="795"/>
    </row>
    <row r="6119" spans="4:5" hidden="1">
      <c r="D6119" s="795"/>
      <c r="E6119" s="795"/>
    </row>
    <row r="6120" spans="4:5" hidden="1">
      <c r="D6120" s="795"/>
      <c r="E6120" s="795"/>
    </row>
    <row r="6121" spans="4:5" hidden="1">
      <c r="D6121" s="795"/>
      <c r="E6121" s="795"/>
    </row>
    <row r="6122" spans="4:5" hidden="1">
      <c r="D6122" s="795"/>
      <c r="E6122" s="795"/>
    </row>
    <row r="6123" spans="4:5" hidden="1">
      <c r="D6123" s="795"/>
      <c r="E6123" s="795"/>
    </row>
    <row r="6124" spans="4:5" hidden="1">
      <c r="D6124" s="795"/>
      <c r="E6124" s="795"/>
    </row>
    <row r="6125" spans="4:5" hidden="1">
      <c r="D6125" s="795"/>
      <c r="E6125" s="795"/>
    </row>
    <row r="6126" spans="4:5" hidden="1">
      <c r="D6126" s="795"/>
      <c r="E6126" s="795"/>
    </row>
    <row r="6127" spans="4:5" hidden="1">
      <c r="D6127" s="795"/>
      <c r="E6127" s="795"/>
    </row>
    <row r="6128" spans="4:5" hidden="1">
      <c r="D6128" s="795"/>
      <c r="E6128" s="795"/>
    </row>
    <row r="6129" spans="4:5" hidden="1">
      <c r="D6129" s="795"/>
      <c r="E6129" s="795"/>
    </row>
    <row r="6130" spans="4:5" hidden="1">
      <c r="D6130" s="795"/>
      <c r="E6130" s="795"/>
    </row>
    <row r="6131" spans="4:5" hidden="1">
      <c r="D6131" s="795"/>
      <c r="E6131" s="795"/>
    </row>
    <row r="6132" spans="4:5" hidden="1">
      <c r="D6132" s="795"/>
      <c r="E6132" s="795"/>
    </row>
    <row r="6133" spans="4:5" hidden="1">
      <c r="D6133" s="795"/>
      <c r="E6133" s="795"/>
    </row>
    <row r="6134" spans="4:5" hidden="1">
      <c r="D6134" s="795"/>
      <c r="E6134" s="795"/>
    </row>
    <row r="6135" spans="4:5" hidden="1">
      <c r="D6135" s="795"/>
      <c r="E6135" s="795"/>
    </row>
    <row r="6136" spans="4:5" hidden="1">
      <c r="D6136" s="795"/>
      <c r="E6136" s="795"/>
    </row>
    <row r="6137" spans="4:5" hidden="1">
      <c r="D6137" s="795"/>
      <c r="E6137" s="795"/>
    </row>
    <row r="6138" spans="4:5" hidden="1">
      <c r="D6138" s="795"/>
      <c r="E6138" s="795"/>
    </row>
    <row r="6139" spans="4:5" hidden="1">
      <c r="D6139" s="795"/>
      <c r="E6139" s="795"/>
    </row>
    <row r="6140" spans="4:5" hidden="1">
      <c r="D6140" s="795"/>
      <c r="E6140" s="795"/>
    </row>
    <row r="6141" spans="4:5" hidden="1">
      <c r="D6141" s="795"/>
      <c r="E6141" s="795"/>
    </row>
    <row r="6142" spans="4:5" hidden="1">
      <c r="D6142" s="795"/>
      <c r="E6142" s="795"/>
    </row>
    <row r="6143" spans="4:5" hidden="1">
      <c r="D6143" s="795"/>
      <c r="E6143" s="795"/>
    </row>
    <row r="6144" spans="4:5" hidden="1">
      <c r="D6144" s="795"/>
      <c r="E6144" s="795"/>
    </row>
    <row r="6145" spans="4:5" hidden="1">
      <c r="D6145" s="795"/>
      <c r="E6145" s="795"/>
    </row>
    <row r="6146" spans="4:5" hidden="1">
      <c r="D6146" s="795"/>
      <c r="E6146" s="795"/>
    </row>
    <row r="6147" spans="4:5" hidden="1">
      <c r="D6147" s="795"/>
      <c r="E6147" s="795"/>
    </row>
    <row r="6148" spans="4:5" hidden="1">
      <c r="D6148" s="795"/>
      <c r="E6148" s="795"/>
    </row>
    <row r="6149" spans="4:5" hidden="1">
      <c r="D6149" s="795"/>
      <c r="E6149" s="795"/>
    </row>
    <row r="6150" spans="4:5" hidden="1">
      <c r="D6150" s="795"/>
      <c r="E6150" s="795"/>
    </row>
    <row r="6151" spans="4:5" hidden="1">
      <c r="D6151" s="795"/>
      <c r="E6151" s="795"/>
    </row>
    <row r="6152" spans="4:5" hidden="1">
      <c r="D6152" s="795"/>
      <c r="E6152" s="795"/>
    </row>
    <row r="6153" spans="4:5" hidden="1">
      <c r="D6153" s="795"/>
      <c r="E6153" s="795"/>
    </row>
    <row r="6154" spans="4:5" hidden="1">
      <c r="D6154" s="795"/>
      <c r="E6154" s="795"/>
    </row>
    <row r="6155" spans="4:5" hidden="1">
      <c r="D6155" s="795"/>
      <c r="E6155" s="795"/>
    </row>
    <row r="6156" spans="4:5" hidden="1">
      <c r="D6156" s="795"/>
      <c r="E6156" s="795"/>
    </row>
    <row r="6157" spans="4:5" hidden="1">
      <c r="D6157" s="795"/>
      <c r="E6157" s="795"/>
    </row>
    <row r="6158" spans="4:5" hidden="1">
      <c r="D6158" s="795"/>
      <c r="E6158" s="795"/>
    </row>
    <row r="6159" spans="4:5" hidden="1">
      <c r="D6159" s="795"/>
      <c r="E6159" s="795"/>
    </row>
    <row r="6160" spans="4:5" hidden="1">
      <c r="D6160" s="795"/>
      <c r="E6160" s="795"/>
    </row>
    <row r="6161" spans="4:5" hidden="1">
      <c r="D6161" s="795"/>
      <c r="E6161" s="795"/>
    </row>
    <row r="6162" spans="4:5" hidden="1">
      <c r="D6162" s="795"/>
      <c r="E6162" s="795"/>
    </row>
    <row r="6163" spans="4:5" hidden="1">
      <c r="D6163" s="795"/>
      <c r="E6163" s="795"/>
    </row>
    <row r="6164" spans="4:5" hidden="1">
      <c r="D6164" s="795"/>
      <c r="E6164" s="795"/>
    </row>
    <row r="6165" spans="4:5" hidden="1">
      <c r="D6165" s="795"/>
      <c r="E6165" s="795"/>
    </row>
    <row r="6166" spans="4:5" hidden="1">
      <c r="D6166" s="795"/>
      <c r="E6166" s="795"/>
    </row>
    <row r="6167" spans="4:5" hidden="1">
      <c r="D6167" s="795"/>
      <c r="E6167" s="795"/>
    </row>
    <row r="6168" spans="4:5" hidden="1">
      <c r="D6168" s="795"/>
      <c r="E6168" s="795"/>
    </row>
    <row r="6169" spans="4:5" hidden="1">
      <c r="D6169" s="795"/>
      <c r="E6169" s="795"/>
    </row>
    <row r="6170" spans="4:5" hidden="1">
      <c r="D6170" s="795"/>
      <c r="E6170" s="795"/>
    </row>
    <row r="6171" spans="4:5" hidden="1">
      <c r="D6171" s="795"/>
      <c r="E6171" s="795"/>
    </row>
    <row r="6172" spans="4:5" hidden="1">
      <c r="D6172" s="795"/>
      <c r="E6172" s="795"/>
    </row>
    <row r="6173" spans="4:5" hidden="1">
      <c r="D6173" s="795"/>
      <c r="E6173" s="795"/>
    </row>
    <row r="6174" spans="4:5" hidden="1">
      <c r="D6174" s="795"/>
      <c r="E6174" s="795"/>
    </row>
    <row r="6175" spans="4:5" hidden="1">
      <c r="D6175" s="795"/>
      <c r="E6175" s="795"/>
    </row>
    <row r="6176" spans="4:5" hidden="1">
      <c r="D6176" s="795"/>
      <c r="E6176" s="795"/>
    </row>
    <row r="6177" spans="4:5" hidden="1">
      <c r="D6177" s="795"/>
      <c r="E6177" s="795"/>
    </row>
    <row r="6178" spans="4:5" hidden="1">
      <c r="D6178" s="795"/>
      <c r="E6178" s="795"/>
    </row>
    <row r="6179" spans="4:5" hidden="1">
      <c r="D6179" s="795"/>
      <c r="E6179" s="795"/>
    </row>
    <row r="6180" spans="4:5" hidden="1">
      <c r="D6180" s="795"/>
      <c r="E6180" s="795"/>
    </row>
    <row r="6181" spans="4:5" hidden="1">
      <c r="D6181" s="795"/>
      <c r="E6181" s="795"/>
    </row>
    <row r="6182" spans="4:5" hidden="1">
      <c r="D6182" s="795"/>
      <c r="E6182" s="795"/>
    </row>
    <row r="6183" spans="4:5" hidden="1">
      <c r="D6183" s="795"/>
      <c r="E6183" s="795"/>
    </row>
    <row r="6184" spans="4:5" hidden="1">
      <c r="D6184" s="795"/>
      <c r="E6184" s="795"/>
    </row>
    <row r="6185" spans="4:5" hidden="1">
      <c r="D6185" s="795"/>
      <c r="E6185" s="795"/>
    </row>
    <row r="6186" spans="4:5" hidden="1">
      <c r="D6186" s="795"/>
      <c r="E6186" s="795"/>
    </row>
    <row r="6187" spans="4:5" hidden="1">
      <c r="D6187" s="795"/>
      <c r="E6187" s="795"/>
    </row>
    <row r="6188" spans="4:5" hidden="1">
      <c r="D6188" s="795"/>
      <c r="E6188" s="795"/>
    </row>
    <row r="6189" spans="4:5" hidden="1">
      <c r="D6189" s="795"/>
      <c r="E6189" s="795"/>
    </row>
    <row r="6190" spans="4:5" hidden="1">
      <c r="D6190" s="795"/>
      <c r="E6190" s="795"/>
    </row>
    <row r="6191" spans="4:5" hidden="1">
      <c r="D6191" s="795"/>
      <c r="E6191" s="795"/>
    </row>
    <row r="6192" spans="4:5" hidden="1">
      <c r="D6192" s="795"/>
      <c r="E6192" s="795"/>
    </row>
    <row r="6193" spans="4:5" hidden="1">
      <c r="D6193" s="795"/>
      <c r="E6193" s="795"/>
    </row>
    <row r="6194" spans="4:5" hidden="1">
      <c r="D6194" s="795"/>
      <c r="E6194" s="795"/>
    </row>
    <row r="6195" spans="4:5" hidden="1">
      <c r="D6195" s="795"/>
      <c r="E6195" s="795"/>
    </row>
    <row r="6196" spans="4:5" hidden="1">
      <c r="D6196" s="795"/>
      <c r="E6196" s="795"/>
    </row>
    <row r="6197" spans="4:5" hidden="1">
      <c r="D6197" s="795"/>
      <c r="E6197" s="795"/>
    </row>
    <row r="6198" spans="4:5" hidden="1">
      <c r="D6198" s="795"/>
      <c r="E6198" s="795"/>
    </row>
    <row r="6199" spans="4:5" hidden="1">
      <c r="D6199" s="795"/>
      <c r="E6199" s="795"/>
    </row>
    <row r="6200" spans="4:5" hidden="1">
      <c r="D6200" s="795"/>
      <c r="E6200" s="795"/>
    </row>
    <row r="6201" spans="4:5" hidden="1">
      <c r="D6201" s="795"/>
      <c r="E6201" s="795"/>
    </row>
    <row r="6202" spans="4:5" hidden="1">
      <c r="D6202" s="795"/>
      <c r="E6202" s="795"/>
    </row>
    <row r="6203" spans="4:5" hidden="1">
      <c r="D6203" s="795"/>
      <c r="E6203" s="795"/>
    </row>
    <row r="6204" spans="4:5" hidden="1">
      <c r="D6204" s="795"/>
      <c r="E6204" s="795"/>
    </row>
    <row r="6205" spans="4:5" hidden="1">
      <c r="D6205" s="795"/>
      <c r="E6205" s="795"/>
    </row>
    <row r="6206" spans="4:5" hidden="1">
      <c r="D6206" s="795"/>
      <c r="E6206" s="795"/>
    </row>
    <row r="6207" spans="4:5" hidden="1">
      <c r="D6207" s="795"/>
      <c r="E6207" s="795"/>
    </row>
    <row r="6208" spans="4:5" hidden="1">
      <c r="D6208" s="795"/>
      <c r="E6208" s="795"/>
    </row>
    <row r="6209" spans="4:5" hidden="1">
      <c r="D6209" s="795"/>
      <c r="E6209" s="795"/>
    </row>
    <row r="6210" spans="4:5" hidden="1">
      <c r="D6210" s="795"/>
      <c r="E6210" s="795"/>
    </row>
    <row r="6211" spans="4:5" hidden="1">
      <c r="D6211" s="795"/>
      <c r="E6211" s="795"/>
    </row>
    <row r="6212" spans="4:5" hidden="1">
      <c r="D6212" s="795"/>
      <c r="E6212" s="795"/>
    </row>
    <row r="6213" spans="4:5" hidden="1">
      <c r="D6213" s="795"/>
      <c r="E6213" s="795"/>
    </row>
    <row r="6214" spans="4:5" hidden="1">
      <c r="D6214" s="795"/>
      <c r="E6214" s="795"/>
    </row>
    <row r="6215" spans="4:5" hidden="1">
      <c r="D6215" s="795"/>
      <c r="E6215" s="795"/>
    </row>
    <row r="6216" spans="4:5" hidden="1">
      <c r="D6216" s="795"/>
      <c r="E6216" s="795"/>
    </row>
    <row r="6217" spans="4:5" hidden="1">
      <c r="D6217" s="795"/>
      <c r="E6217" s="795"/>
    </row>
    <row r="6218" spans="4:5" hidden="1">
      <c r="D6218" s="795"/>
      <c r="E6218" s="795"/>
    </row>
    <row r="6219" spans="4:5" hidden="1">
      <c r="D6219" s="795"/>
      <c r="E6219" s="795"/>
    </row>
    <row r="6220" spans="4:5" hidden="1">
      <c r="D6220" s="795"/>
      <c r="E6220" s="795"/>
    </row>
    <row r="6221" spans="4:5" hidden="1">
      <c r="D6221" s="795"/>
      <c r="E6221" s="795"/>
    </row>
    <row r="6222" spans="4:5" hidden="1">
      <c r="D6222" s="795"/>
      <c r="E6222" s="795"/>
    </row>
    <row r="6223" spans="4:5" hidden="1">
      <c r="D6223" s="795"/>
      <c r="E6223" s="795"/>
    </row>
    <row r="6224" spans="4:5" hidden="1">
      <c r="D6224" s="795"/>
      <c r="E6224" s="795"/>
    </row>
    <row r="6225" spans="4:5" hidden="1">
      <c r="D6225" s="795"/>
      <c r="E6225" s="795"/>
    </row>
    <row r="6226" spans="4:5" hidden="1">
      <c r="D6226" s="795"/>
      <c r="E6226" s="795"/>
    </row>
    <row r="6227" spans="4:5" hidden="1">
      <c r="D6227" s="795"/>
      <c r="E6227" s="795"/>
    </row>
    <row r="6228" spans="4:5" hidden="1">
      <c r="D6228" s="795"/>
      <c r="E6228" s="795"/>
    </row>
    <row r="6229" spans="4:5" hidden="1">
      <c r="D6229" s="795"/>
      <c r="E6229" s="795"/>
    </row>
    <row r="6230" spans="4:5" hidden="1">
      <c r="D6230" s="795"/>
      <c r="E6230" s="795"/>
    </row>
    <row r="6231" spans="4:5" hidden="1">
      <c r="D6231" s="795"/>
      <c r="E6231" s="795"/>
    </row>
    <row r="6232" spans="4:5" hidden="1">
      <c r="D6232" s="795"/>
      <c r="E6232" s="795"/>
    </row>
    <row r="6233" spans="4:5" hidden="1">
      <c r="D6233" s="795"/>
      <c r="E6233" s="795"/>
    </row>
    <row r="6234" spans="4:5" hidden="1">
      <c r="D6234" s="795"/>
      <c r="E6234" s="795"/>
    </row>
    <row r="6235" spans="4:5" hidden="1">
      <c r="D6235" s="795"/>
      <c r="E6235" s="795"/>
    </row>
    <row r="6236" spans="4:5" hidden="1">
      <c r="D6236" s="795"/>
      <c r="E6236" s="795"/>
    </row>
    <row r="6237" spans="4:5" hidden="1">
      <c r="D6237" s="795"/>
      <c r="E6237" s="795"/>
    </row>
    <row r="6238" spans="4:5" hidden="1">
      <c r="D6238" s="795"/>
      <c r="E6238" s="795"/>
    </row>
    <row r="6239" spans="4:5" hidden="1">
      <c r="D6239" s="795"/>
      <c r="E6239" s="795"/>
    </row>
    <row r="6240" spans="4:5" hidden="1">
      <c r="D6240" s="795"/>
      <c r="E6240" s="795"/>
    </row>
    <row r="6241" spans="4:5" hidden="1">
      <c r="D6241" s="795"/>
      <c r="E6241" s="795"/>
    </row>
    <row r="6242" spans="4:5" hidden="1">
      <c r="D6242" s="795"/>
      <c r="E6242" s="795"/>
    </row>
    <row r="6243" spans="4:5" hidden="1">
      <c r="D6243" s="795"/>
      <c r="E6243" s="795"/>
    </row>
    <row r="6244" spans="4:5" hidden="1">
      <c r="D6244" s="795"/>
      <c r="E6244" s="795"/>
    </row>
    <row r="6245" spans="4:5" hidden="1">
      <c r="D6245" s="795"/>
      <c r="E6245" s="795"/>
    </row>
    <row r="6246" spans="4:5" hidden="1">
      <c r="D6246" s="795"/>
      <c r="E6246" s="795"/>
    </row>
    <row r="6247" spans="4:5" hidden="1">
      <c r="D6247" s="795"/>
      <c r="E6247" s="795"/>
    </row>
    <row r="6248" spans="4:5" hidden="1">
      <c r="D6248" s="795"/>
      <c r="E6248" s="795"/>
    </row>
    <row r="6249" spans="4:5" hidden="1">
      <c r="D6249" s="795"/>
      <c r="E6249" s="795"/>
    </row>
    <row r="6250" spans="4:5" hidden="1">
      <c r="D6250" s="795"/>
      <c r="E6250" s="795"/>
    </row>
    <row r="6251" spans="4:5" hidden="1">
      <c r="D6251" s="795"/>
      <c r="E6251" s="795"/>
    </row>
    <row r="6252" spans="4:5" hidden="1">
      <c r="D6252" s="795"/>
      <c r="E6252" s="795"/>
    </row>
    <row r="6253" spans="4:5" hidden="1">
      <c r="D6253" s="795"/>
      <c r="E6253" s="795"/>
    </row>
    <row r="6254" spans="4:5" hidden="1">
      <c r="D6254" s="795"/>
      <c r="E6254" s="795"/>
    </row>
    <row r="6255" spans="4:5" hidden="1">
      <c r="D6255" s="795"/>
      <c r="E6255" s="795"/>
    </row>
    <row r="6256" spans="4:5" hidden="1">
      <c r="D6256" s="795"/>
      <c r="E6256" s="795"/>
    </row>
    <row r="6257" spans="4:5" hidden="1">
      <c r="D6257" s="795"/>
      <c r="E6257" s="795"/>
    </row>
    <row r="6258" spans="4:5" hidden="1">
      <c r="D6258" s="795"/>
      <c r="E6258" s="795"/>
    </row>
    <row r="6259" spans="4:5" hidden="1">
      <c r="D6259" s="795"/>
      <c r="E6259" s="795"/>
    </row>
    <row r="6260" spans="4:5" hidden="1">
      <c r="D6260" s="795"/>
      <c r="E6260" s="795"/>
    </row>
    <row r="6261" spans="4:5" hidden="1">
      <c r="D6261" s="795"/>
      <c r="E6261" s="795"/>
    </row>
    <row r="6262" spans="4:5" hidden="1">
      <c r="D6262" s="795"/>
      <c r="E6262" s="795"/>
    </row>
    <row r="6263" spans="4:5" hidden="1">
      <c r="D6263" s="795"/>
      <c r="E6263" s="795"/>
    </row>
    <row r="6264" spans="4:5" hidden="1">
      <c r="D6264" s="795"/>
      <c r="E6264" s="795"/>
    </row>
    <row r="6265" spans="4:5" hidden="1">
      <c r="D6265" s="795"/>
      <c r="E6265" s="795"/>
    </row>
    <row r="6266" spans="4:5" hidden="1">
      <c r="D6266" s="795"/>
      <c r="E6266" s="795"/>
    </row>
    <row r="6267" spans="4:5" hidden="1">
      <c r="D6267" s="795"/>
      <c r="E6267" s="795"/>
    </row>
    <row r="6268" spans="4:5" hidden="1">
      <c r="D6268" s="795"/>
      <c r="E6268" s="795"/>
    </row>
    <row r="6269" spans="4:5" hidden="1">
      <c r="D6269" s="795"/>
      <c r="E6269" s="795"/>
    </row>
    <row r="6270" spans="4:5" hidden="1">
      <c r="D6270" s="795"/>
      <c r="E6270" s="795"/>
    </row>
    <row r="6271" spans="4:5" hidden="1">
      <c r="D6271" s="795"/>
      <c r="E6271" s="795"/>
    </row>
    <row r="6272" spans="4:5" hidden="1">
      <c r="D6272" s="795"/>
      <c r="E6272" s="795"/>
    </row>
    <row r="6273" spans="4:5" hidden="1">
      <c r="D6273" s="795"/>
      <c r="E6273" s="795"/>
    </row>
    <row r="6274" spans="4:5" hidden="1">
      <c r="D6274" s="795"/>
      <c r="E6274" s="795"/>
    </row>
    <row r="6275" spans="4:5" hidden="1">
      <c r="D6275" s="795"/>
      <c r="E6275" s="795"/>
    </row>
    <row r="6276" spans="4:5" hidden="1">
      <c r="D6276" s="795"/>
      <c r="E6276" s="795"/>
    </row>
    <row r="6277" spans="4:5" hidden="1">
      <c r="D6277" s="795"/>
      <c r="E6277" s="795"/>
    </row>
    <row r="6278" spans="4:5" hidden="1">
      <c r="D6278" s="795"/>
      <c r="E6278" s="795"/>
    </row>
    <row r="6279" spans="4:5" hidden="1">
      <c r="D6279" s="795"/>
      <c r="E6279" s="795"/>
    </row>
    <row r="6280" spans="4:5" hidden="1">
      <c r="D6280" s="795"/>
      <c r="E6280" s="795"/>
    </row>
    <row r="6281" spans="4:5" hidden="1">
      <c r="D6281" s="795"/>
      <c r="E6281" s="795"/>
    </row>
    <row r="6282" spans="4:5" hidden="1">
      <c r="D6282" s="795"/>
      <c r="E6282" s="795"/>
    </row>
    <row r="6283" spans="4:5" hidden="1">
      <c r="D6283" s="795"/>
      <c r="E6283" s="795"/>
    </row>
    <row r="6284" spans="4:5" hidden="1">
      <c r="D6284" s="795"/>
      <c r="E6284" s="795"/>
    </row>
    <row r="6285" spans="4:5" hidden="1">
      <c r="D6285" s="795"/>
      <c r="E6285" s="795"/>
    </row>
    <row r="6286" spans="4:5" hidden="1">
      <c r="D6286" s="795"/>
      <c r="E6286" s="795"/>
    </row>
    <row r="6287" spans="4:5" hidden="1">
      <c r="D6287" s="795"/>
      <c r="E6287" s="795"/>
    </row>
    <row r="6288" spans="4:5" hidden="1">
      <c r="D6288" s="795"/>
      <c r="E6288" s="795"/>
    </row>
    <row r="6289" spans="4:5" hidden="1">
      <c r="D6289" s="795"/>
      <c r="E6289" s="795"/>
    </row>
    <row r="6290" spans="4:5" hidden="1">
      <c r="D6290" s="795"/>
      <c r="E6290" s="795"/>
    </row>
    <row r="6291" spans="4:5" hidden="1">
      <c r="D6291" s="795"/>
      <c r="E6291" s="795"/>
    </row>
    <row r="6292" spans="4:5" hidden="1">
      <c r="D6292" s="795"/>
      <c r="E6292" s="795"/>
    </row>
    <row r="6293" spans="4:5" hidden="1">
      <c r="D6293" s="795"/>
      <c r="E6293" s="795"/>
    </row>
    <row r="6294" spans="4:5" hidden="1">
      <c r="D6294" s="795"/>
      <c r="E6294" s="795"/>
    </row>
    <row r="6295" spans="4:5" hidden="1">
      <c r="D6295" s="795"/>
      <c r="E6295" s="795"/>
    </row>
    <row r="6296" spans="4:5" hidden="1">
      <c r="D6296" s="795"/>
      <c r="E6296" s="795"/>
    </row>
    <row r="6297" spans="4:5" hidden="1">
      <c r="D6297" s="795"/>
      <c r="E6297" s="795"/>
    </row>
    <row r="6298" spans="4:5" hidden="1">
      <c r="D6298" s="795"/>
      <c r="E6298" s="795"/>
    </row>
    <row r="6299" spans="4:5" hidden="1">
      <c r="D6299" s="795"/>
      <c r="E6299" s="795"/>
    </row>
    <row r="6300" spans="4:5" hidden="1">
      <c r="D6300" s="795"/>
      <c r="E6300" s="795"/>
    </row>
    <row r="6301" spans="4:5" hidden="1">
      <c r="D6301" s="795"/>
      <c r="E6301" s="795"/>
    </row>
    <row r="6302" spans="4:5" hidden="1">
      <c r="D6302" s="795"/>
      <c r="E6302" s="795"/>
    </row>
    <row r="6303" spans="4:5" hidden="1">
      <c r="D6303" s="795"/>
      <c r="E6303" s="795"/>
    </row>
    <row r="6304" spans="4:5" hidden="1">
      <c r="D6304" s="795"/>
      <c r="E6304" s="795"/>
    </row>
    <row r="6305" spans="4:5" hidden="1">
      <c r="D6305" s="795"/>
      <c r="E6305" s="795"/>
    </row>
    <row r="6306" spans="4:5" hidden="1">
      <c r="D6306" s="795"/>
      <c r="E6306" s="795"/>
    </row>
    <row r="6307" spans="4:5" hidden="1">
      <c r="D6307" s="795"/>
      <c r="E6307" s="795"/>
    </row>
    <row r="6308" spans="4:5" hidden="1">
      <c r="D6308" s="795"/>
      <c r="E6308" s="795"/>
    </row>
    <row r="6309" spans="4:5" hidden="1">
      <c r="D6309" s="795"/>
      <c r="E6309" s="795"/>
    </row>
    <row r="6310" spans="4:5" hidden="1">
      <c r="D6310" s="795"/>
      <c r="E6310" s="795"/>
    </row>
    <row r="6311" spans="4:5" hidden="1">
      <c r="D6311" s="795"/>
      <c r="E6311" s="795"/>
    </row>
    <row r="6312" spans="4:5" hidden="1">
      <c r="D6312" s="795"/>
      <c r="E6312" s="795"/>
    </row>
    <row r="6313" spans="4:5" hidden="1">
      <c r="D6313" s="795"/>
      <c r="E6313" s="795"/>
    </row>
    <row r="6314" spans="4:5" hidden="1">
      <c r="D6314" s="795"/>
      <c r="E6314" s="795"/>
    </row>
    <row r="6315" spans="4:5" hidden="1">
      <c r="D6315" s="795"/>
      <c r="E6315" s="795"/>
    </row>
    <row r="6316" spans="4:5" hidden="1">
      <c r="D6316" s="795"/>
      <c r="E6316" s="795"/>
    </row>
    <row r="6317" spans="4:5" hidden="1">
      <c r="D6317" s="795"/>
      <c r="E6317" s="795"/>
    </row>
    <row r="6318" spans="4:5" hidden="1">
      <c r="D6318" s="795"/>
      <c r="E6318" s="795"/>
    </row>
    <row r="6319" spans="4:5" hidden="1">
      <c r="D6319" s="795"/>
      <c r="E6319" s="795"/>
    </row>
    <row r="6320" spans="4:5" hidden="1">
      <c r="D6320" s="795"/>
      <c r="E6320" s="795"/>
    </row>
    <row r="6321" spans="4:5" hidden="1">
      <c r="D6321" s="795"/>
      <c r="E6321" s="795"/>
    </row>
    <row r="6322" spans="4:5" hidden="1">
      <c r="D6322" s="795"/>
      <c r="E6322" s="795"/>
    </row>
    <row r="6323" spans="4:5" hidden="1">
      <c r="D6323" s="795"/>
      <c r="E6323" s="795"/>
    </row>
    <row r="6324" spans="4:5" hidden="1">
      <c r="D6324" s="795"/>
      <c r="E6324" s="795"/>
    </row>
    <row r="6325" spans="4:5" hidden="1">
      <c r="D6325" s="795"/>
      <c r="E6325" s="795"/>
    </row>
    <row r="6326" spans="4:5" hidden="1">
      <c r="D6326" s="795"/>
      <c r="E6326" s="795"/>
    </row>
    <row r="6327" spans="4:5" hidden="1">
      <c r="D6327" s="795"/>
      <c r="E6327" s="795"/>
    </row>
    <row r="6328" spans="4:5" hidden="1">
      <c r="D6328" s="795"/>
      <c r="E6328" s="795"/>
    </row>
    <row r="6329" spans="4:5" hidden="1">
      <c r="D6329" s="795"/>
      <c r="E6329" s="795"/>
    </row>
    <row r="6330" spans="4:5" hidden="1">
      <c r="D6330" s="795"/>
      <c r="E6330" s="795"/>
    </row>
    <row r="6331" spans="4:5" hidden="1">
      <c r="D6331" s="795"/>
      <c r="E6331" s="795"/>
    </row>
    <row r="6332" spans="4:5" hidden="1">
      <c r="D6332" s="795"/>
      <c r="E6332" s="795"/>
    </row>
    <row r="6333" spans="4:5" hidden="1">
      <c r="D6333" s="795"/>
      <c r="E6333" s="795"/>
    </row>
    <row r="6334" spans="4:5" hidden="1">
      <c r="D6334" s="795"/>
      <c r="E6334" s="795"/>
    </row>
    <row r="6335" spans="4:5" hidden="1">
      <c r="D6335" s="795"/>
      <c r="E6335" s="795"/>
    </row>
    <row r="6336" spans="4:5" hidden="1">
      <c r="D6336" s="795"/>
      <c r="E6336" s="795"/>
    </row>
    <row r="6337" spans="4:5" hidden="1">
      <c r="D6337" s="795"/>
      <c r="E6337" s="795"/>
    </row>
    <row r="6338" spans="4:5" hidden="1">
      <c r="D6338" s="795"/>
      <c r="E6338" s="795"/>
    </row>
    <row r="6339" spans="4:5" hidden="1">
      <c r="D6339" s="795"/>
      <c r="E6339" s="795"/>
    </row>
    <row r="6340" spans="4:5" hidden="1">
      <c r="D6340" s="795"/>
      <c r="E6340" s="795"/>
    </row>
    <row r="6341" spans="4:5" hidden="1">
      <c r="D6341" s="795"/>
      <c r="E6341" s="795"/>
    </row>
    <row r="6342" spans="4:5" hidden="1">
      <c r="D6342" s="795"/>
      <c r="E6342" s="795"/>
    </row>
    <row r="6343" spans="4:5" hidden="1">
      <c r="D6343" s="795"/>
      <c r="E6343" s="795"/>
    </row>
    <row r="6344" spans="4:5" hidden="1">
      <c r="D6344" s="795"/>
      <c r="E6344" s="795"/>
    </row>
    <row r="6345" spans="4:5" hidden="1">
      <c r="D6345" s="795"/>
      <c r="E6345" s="795"/>
    </row>
    <row r="6346" spans="4:5" hidden="1">
      <c r="D6346" s="795"/>
      <c r="E6346" s="795"/>
    </row>
    <row r="6347" spans="4:5" hidden="1">
      <c r="D6347" s="795"/>
      <c r="E6347" s="795"/>
    </row>
    <row r="6348" spans="4:5" hidden="1">
      <c r="D6348" s="795"/>
      <c r="E6348" s="795"/>
    </row>
    <row r="6349" spans="4:5" hidden="1">
      <c r="D6349" s="795"/>
      <c r="E6349" s="795"/>
    </row>
    <row r="6350" spans="4:5" hidden="1">
      <c r="D6350" s="795"/>
      <c r="E6350" s="795"/>
    </row>
    <row r="6351" spans="4:5" hidden="1">
      <c r="D6351" s="795"/>
      <c r="E6351" s="795"/>
    </row>
    <row r="6352" spans="4:5" hidden="1">
      <c r="D6352" s="795"/>
      <c r="E6352" s="795"/>
    </row>
    <row r="6353" spans="4:5" hidden="1">
      <c r="D6353" s="795"/>
      <c r="E6353" s="795"/>
    </row>
    <row r="6354" spans="4:5" hidden="1">
      <c r="D6354" s="795"/>
      <c r="E6354" s="795"/>
    </row>
    <row r="6355" spans="4:5" hidden="1">
      <c r="D6355" s="795"/>
      <c r="E6355" s="795"/>
    </row>
    <row r="6356" spans="4:5" hidden="1">
      <c r="D6356" s="795"/>
      <c r="E6356" s="795"/>
    </row>
    <row r="6357" spans="4:5" hidden="1">
      <c r="D6357" s="795"/>
      <c r="E6357" s="795"/>
    </row>
    <row r="6358" spans="4:5" hidden="1">
      <c r="D6358" s="795"/>
      <c r="E6358" s="795"/>
    </row>
    <row r="6359" spans="4:5" hidden="1">
      <c r="D6359" s="795"/>
      <c r="E6359" s="795"/>
    </row>
    <row r="6360" spans="4:5" hidden="1">
      <c r="D6360" s="795"/>
      <c r="E6360" s="795"/>
    </row>
    <row r="6361" spans="4:5" hidden="1">
      <c r="D6361" s="795"/>
      <c r="E6361" s="795"/>
    </row>
    <row r="6362" spans="4:5" hidden="1">
      <c r="D6362" s="795"/>
      <c r="E6362" s="795"/>
    </row>
    <row r="6363" spans="4:5" hidden="1">
      <c r="D6363" s="795"/>
      <c r="E6363" s="795"/>
    </row>
    <row r="6364" spans="4:5" hidden="1">
      <c r="D6364" s="795"/>
      <c r="E6364" s="795"/>
    </row>
    <row r="6365" spans="4:5" hidden="1">
      <c r="D6365" s="795"/>
      <c r="E6365" s="795"/>
    </row>
    <row r="6366" spans="4:5" hidden="1">
      <c r="D6366" s="795"/>
      <c r="E6366" s="795"/>
    </row>
    <row r="6367" spans="4:5" hidden="1">
      <c r="D6367" s="795"/>
      <c r="E6367" s="795"/>
    </row>
    <row r="6368" spans="4:5" hidden="1">
      <c r="D6368" s="795"/>
      <c r="E6368" s="795"/>
    </row>
    <row r="6369" spans="4:5" hidden="1">
      <c r="D6369" s="795"/>
      <c r="E6369" s="795"/>
    </row>
    <row r="6370" spans="4:5" hidden="1">
      <c r="D6370" s="795"/>
      <c r="E6370" s="795"/>
    </row>
    <row r="6371" spans="4:5" hidden="1">
      <c r="D6371" s="795"/>
      <c r="E6371" s="795"/>
    </row>
    <row r="6372" spans="4:5" hidden="1">
      <c r="D6372" s="795"/>
      <c r="E6372" s="795"/>
    </row>
    <row r="6373" spans="4:5" hidden="1">
      <c r="D6373" s="795"/>
      <c r="E6373" s="795"/>
    </row>
    <row r="6374" spans="4:5" hidden="1">
      <c r="D6374" s="795"/>
      <c r="E6374" s="795"/>
    </row>
    <row r="6375" spans="4:5" hidden="1">
      <c r="D6375" s="795"/>
      <c r="E6375" s="795"/>
    </row>
    <row r="6376" spans="4:5" hidden="1">
      <c r="D6376" s="795"/>
      <c r="E6376" s="795"/>
    </row>
    <row r="6377" spans="4:5" hidden="1">
      <c r="D6377" s="795"/>
      <c r="E6377" s="795"/>
    </row>
    <row r="6378" spans="4:5" hidden="1">
      <c r="D6378" s="795"/>
      <c r="E6378" s="795"/>
    </row>
    <row r="6379" spans="4:5" hidden="1">
      <c r="D6379" s="795"/>
      <c r="E6379" s="795"/>
    </row>
    <row r="6380" spans="4:5" hidden="1">
      <c r="D6380" s="795"/>
      <c r="E6380" s="795"/>
    </row>
    <row r="6381" spans="4:5" hidden="1">
      <c r="D6381" s="795"/>
      <c r="E6381" s="795"/>
    </row>
    <row r="6382" spans="4:5" hidden="1">
      <c r="D6382" s="795"/>
      <c r="E6382" s="795"/>
    </row>
    <row r="6383" spans="4:5" hidden="1">
      <c r="D6383" s="795"/>
      <c r="E6383" s="795"/>
    </row>
    <row r="6384" spans="4:5" hidden="1">
      <c r="D6384" s="795"/>
      <c r="E6384" s="795"/>
    </row>
    <row r="6385" spans="4:5" hidden="1">
      <c r="D6385" s="795"/>
      <c r="E6385" s="795"/>
    </row>
    <row r="6386" spans="4:5" hidden="1">
      <c r="D6386" s="795"/>
      <c r="E6386" s="795"/>
    </row>
    <row r="6387" spans="4:5" hidden="1">
      <c r="D6387" s="795"/>
      <c r="E6387" s="795"/>
    </row>
    <row r="6388" spans="4:5" hidden="1">
      <c r="D6388" s="795"/>
      <c r="E6388" s="795"/>
    </row>
    <row r="6389" spans="4:5" hidden="1">
      <c r="D6389" s="795"/>
      <c r="E6389" s="795"/>
    </row>
    <row r="6390" spans="4:5" hidden="1">
      <c r="D6390" s="795"/>
      <c r="E6390" s="795"/>
    </row>
    <row r="6391" spans="4:5" hidden="1">
      <c r="D6391" s="795"/>
      <c r="E6391" s="795"/>
    </row>
    <row r="6392" spans="4:5" hidden="1">
      <c r="D6392" s="795"/>
      <c r="E6392" s="795"/>
    </row>
    <row r="6393" spans="4:5" hidden="1">
      <c r="D6393" s="795"/>
      <c r="E6393" s="795"/>
    </row>
    <row r="6394" spans="4:5" hidden="1">
      <c r="D6394" s="795"/>
      <c r="E6394" s="795"/>
    </row>
    <row r="6395" spans="4:5" hidden="1">
      <c r="D6395" s="795"/>
      <c r="E6395" s="795"/>
    </row>
    <row r="6396" spans="4:5" hidden="1">
      <c r="D6396" s="795"/>
      <c r="E6396" s="795"/>
    </row>
    <row r="6397" spans="4:5" hidden="1">
      <c r="D6397" s="795"/>
      <c r="E6397" s="795"/>
    </row>
    <row r="6398" spans="4:5" hidden="1">
      <c r="D6398" s="795"/>
      <c r="E6398" s="795"/>
    </row>
    <row r="6399" spans="4:5" hidden="1">
      <c r="D6399" s="795"/>
      <c r="E6399" s="795"/>
    </row>
    <row r="6400" spans="4:5" hidden="1">
      <c r="D6400" s="795"/>
      <c r="E6400" s="795"/>
    </row>
    <row r="6401" spans="4:5" hidden="1">
      <c r="D6401" s="795"/>
      <c r="E6401" s="795"/>
    </row>
    <row r="6402" spans="4:5" hidden="1">
      <c r="D6402" s="795"/>
      <c r="E6402" s="795"/>
    </row>
    <row r="6403" spans="4:5" hidden="1">
      <c r="D6403" s="795"/>
      <c r="E6403" s="795"/>
    </row>
    <row r="6404" spans="4:5" hidden="1">
      <c r="D6404" s="795"/>
      <c r="E6404" s="795"/>
    </row>
    <row r="6405" spans="4:5" hidden="1">
      <c r="D6405" s="795"/>
      <c r="E6405" s="795"/>
    </row>
    <row r="6406" spans="4:5" hidden="1">
      <c r="D6406" s="795"/>
      <c r="E6406" s="795"/>
    </row>
    <row r="6407" spans="4:5" hidden="1">
      <c r="D6407" s="795"/>
      <c r="E6407" s="795"/>
    </row>
    <row r="6408" spans="4:5" hidden="1">
      <c r="D6408" s="795"/>
      <c r="E6408" s="795"/>
    </row>
    <row r="6409" spans="4:5" hidden="1">
      <c r="D6409" s="795"/>
      <c r="E6409" s="795"/>
    </row>
    <row r="6410" spans="4:5" hidden="1">
      <c r="D6410" s="795"/>
      <c r="E6410" s="795"/>
    </row>
    <row r="6411" spans="4:5" hidden="1">
      <c r="D6411" s="795"/>
      <c r="E6411" s="795"/>
    </row>
    <row r="6412" spans="4:5" hidden="1">
      <c r="D6412" s="795"/>
      <c r="E6412" s="795"/>
    </row>
    <row r="6413" spans="4:5" hidden="1">
      <c r="D6413" s="795"/>
      <c r="E6413" s="795"/>
    </row>
    <row r="6414" spans="4:5" hidden="1">
      <c r="D6414" s="795"/>
      <c r="E6414" s="795"/>
    </row>
    <row r="6415" spans="4:5" hidden="1">
      <c r="D6415" s="795"/>
      <c r="E6415" s="795"/>
    </row>
    <row r="6416" spans="4:5" hidden="1">
      <c r="D6416" s="795"/>
      <c r="E6416" s="795"/>
    </row>
    <row r="6417" spans="4:5" hidden="1">
      <c r="D6417" s="795"/>
      <c r="E6417" s="795"/>
    </row>
    <row r="6418" spans="4:5" hidden="1">
      <c r="D6418" s="795"/>
      <c r="E6418" s="795"/>
    </row>
    <row r="6419" spans="4:5" hidden="1">
      <c r="D6419" s="795"/>
      <c r="E6419" s="795"/>
    </row>
    <row r="6420" spans="4:5" hidden="1">
      <c r="D6420" s="795"/>
      <c r="E6420" s="795"/>
    </row>
    <row r="6421" spans="4:5" hidden="1">
      <c r="D6421" s="795"/>
      <c r="E6421" s="795"/>
    </row>
    <row r="6422" spans="4:5" hidden="1">
      <c r="D6422" s="795"/>
      <c r="E6422" s="795"/>
    </row>
    <row r="6423" spans="4:5" hidden="1">
      <c r="D6423" s="795"/>
      <c r="E6423" s="795"/>
    </row>
    <row r="6424" spans="4:5" hidden="1">
      <c r="D6424" s="795"/>
      <c r="E6424" s="795"/>
    </row>
    <row r="6425" spans="4:5" hidden="1">
      <c r="D6425" s="795"/>
      <c r="E6425" s="795"/>
    </row>
    <row r="6426" spans="4:5" hidden="1">
      <c r="D6426" s="795"/>
      <c r="E6426" s="795"/>
    </row>
    <row r="6427" spans="4:5" hidden="1">
      <c r="D6427" s="795"/>
      <c r="E6427" s="795"/>
    </row>
    <row r="6428" spans="4:5" hidden="1">
      <c r="D6428" s="795"/>
      <c r="E6428" s="795"/>
    </row>
    <row r="6429" spans="4:5" hidden="1">
      <c r="D6429" s="795"/>
      <c r="E6429" s="795"/>
    </row>
    <row r="6430" spans="4:5" hidden="1">
      <c r="D6430" s="795"/>
      <c r="E6430" s="795"/>
    </row>
    <row r="6431" spans="4:5" hidden="1">
      <c r="D6431" s="795"/>
      <c r="E6431" s="795"/>
    </row>
    <row r="6432" spans="4:5" hidden="1">
      <c r="D6432" s="795"/>
      <c r="E6432" s="795"/>
    </row>
    <row r="6433" spans="4:5" hidden="1">
      <c r="D6433" s="795"/>
      <c r="E6433" s="795"/>
    </row>
    <row r="6434" spans="4:5" hidden="1">
      <c r="D6434" s="795"/>
      <c r="E6434" s="795"/>
    </row>
    <row r="6435" spans="4:5" hidden="1">
      <c r="D6435" s="795"/>
      <c r="E6435" s="795"/>
    </row>
    <row r="6436" spans="4:5" hidden="1">
      <c r="D6436" s="795"/>
      <c r="E6436" s="795"/>
    </row>
    <row r="6437" spans="4:5" hidden="1">
      <c r="D6437" s="795"/>
      <c r="E6437" s="795"/>
    </row>
    <row r="6438" spans="4:5" hidden="1">
      <c r="D6438" s="795"/>
      <c r="E6438" s="795"/>
    </row>
    <row r="6439" spans="4:5" hidden="1">
      <c r="D6439" s="795"/>
      <c r="E6439" s="795"/>
    </row>
    <row r="6440" spans="4:5" hidden="1">
      <c r="D6440" s="795"/>
      <c r="E6440" s="795"/>
    </row>
    <row r="6441" spans="4:5" hidden="1">
      <c r="D6441" s="795"/>
      <c r="E6441" s="795"/>
    </row>
    <row r="6442" spans="4:5" hidden="1">
      <c r="D6442" s="795"/>
      <c r="E6442" s="795"/>
    </row>
    <row r="6443" spans="4:5" hidden="1">
      <c r="D6443" s="795"/>
      <c r="E6443" s="795"/>
    </row>
    <row r="6444" spans="4:5" hidden="1">
      <c r="D6444" s="795"/>
      <c r="E6444" s="795"/>
    </row>
    <row r="6445" spans="4:5" hidden="1">
      <c r="D6445" s="795"/>
      <c r="E6445" s="795"/>
    </row>
    <row r="6446" spans="4:5" hidden="1">
      <c r="D6446" s="795"/>
      <c r="E6446" s="795"/>
    </row>
    <row r="6447" spans="4:5" hidden="1">
      <c r="D6447" s="795"/>
      <c r="E6447" s="795"/>
    </row>
    <row r="6448" spans="4:5" hidden="1">
      <c r="D6448" s="795"/>
      <c r="E6448" s="795"/>
    </row>
    <row r="6449" spans="4:5" hidden="1">
      <c r="D6449" s="795"/>
      <c r="E6449" s="795"/>
    </row>
    <row r="6450" spans="4:5" hidden="1">
      <c r="D6450" s="795"/>
      <c r="E6450" s="795"/>
    </row>
    <row r="6451" spans="4:5" hidden="1">
      <c r="D6451" s="795"/>
      <c r="E6451" s="795"/>
    </row>
    <row r="6452" spans="4:5" hidden="1">
      <c r="D6452" s="795"/>
      <c r="E6452" s="795"/>
    </row>
    <row r="6453" spans="4:5" hidden="1">
      <c r="D6453" s="795"/>
      <c r="E6453" s="795"/>
    </row>
    <row r="6454" spans="4:5" hidden="1">
      <c r="D6454" s="795"/>
      <c r="E6454" s="795"/>
    </row>
    <row r="6455" spans="4:5" hidden="1">
      <c r="D6455" s="795"/>
      <c r="E6455" s="795"/>
    </row>
    <row r="6456" spans="4:5" hidden="1">
      <c r="D6456" s="795"/>
      <c r="E6456" s="795"/>
    </row>
    <row r="6457" spans="4:5" hidden="1">
      <c r="D6457" s="795"/>
      <c r="E6457" s="795"/>
    </row>
    <row r="6458" spans="4:5" hidden="1">
      <c r="D6458" s="795"/>
      <c r="E6458" s="795"/>
    </row>
    <row r="6459" spans="4:5" hidden="1">
      <c r="D6459" s="795"/>
      <c r="E6459" s="795"/>
    </row>
    <row r="6460" spans="4:5" hidden="1">
      <c r="D6460" s="795"/>
      <c r="E6460" s="795"/>
    </row>
    <row r="6461" spans="4:5" hidden="1">
      <c r="D6461" s="795"/>
      <c r="E6461" s="795"/>
    </row>
    <row r="6462" spans="4:5" hidden="1">
      <c r="D6462" s="795"/>
      <c r="E6462" s="795"/>
    </row>
    <row r="6463" spans="4:5" hidden="1">
      <c r="D6463" s="795"/>
      <c r="E6463" s="795"/>
    </row>
    <row r="6464" spans="4:5" hidden="1">
      <c r="D6464" s="795"/>
      <c r="E6464" s="795"/>
    </row>
    <row r="6465" spans="4:5" hidden="1">
      <c r="D6465" s="795"/>
      <c r="E6465" s="795"/>
    </row>
    <row r="6466" spans="4:5" hidden="1">
      <c r="D6466" s="795"/>
      <c r="E6466" s="795"/>
    </row>
    <row r="6467" spans="4:5" hidden="1">
      <c r="D6467" s="795"/>
      <c r="E6467" s="795"/>
    </row>
    <row r="6468" spans="4:5" hidden="1">
      <c r="D6468" s="795"/>
      <c r="E6468" s="795"/>
    </row>
    <row r="6469" spans="4:5" hidden="1">
      <c r="D6469" s="795"/>
      <c r="E6469" s="795"/>
    </row>
    <row r="6470" spans="4:5" hidden="1">
      <c r="D6470" s="795"/>
      <c r="E6470" s="795"/>
    </row>
    <row r="6471" spans="4:5" hidden="1">
      <c r="D6471" s="795"/>
      <c r="E6471" s="795"/>
    </row>
    <row r="6472" spans="4:5" hidden="1">
      <c r="D6472" s="795"/>
      <c r="E6472" s="795"/>
    </row>
    <row r="6473" spans="4:5" hidden="1">
      <c r="D6473" s="795"/>
      <c r="E6473" s="795"/>
    </row>
    <row r="6474" spans="4:5" hidden="1">
      <c r="D6474" s="795"/>
      <c r="E6474" s="795"/>
    </row>
    <row r="6475" spans="4:5" hidden="1">
      <c r="D6475" s="795"/>
      <c r="E6475" s="795"/>
    </row>
    <row r="6476" spans="4:5" hidden="1">
      <c r="D6476" s="795"/>
      <c r="E6476" s="795"/>
    </row>
    <row r="6477" spans="4:5" hidden="1">
      <c r="D6477" s="795"/>
      <c r="E6477" s="795"/>
    </row>
    <row r="6478" spans="4:5" hidden="1">
      <c r="D6478" s="795"/>
      <c r="E6478" s="795"/>
    </row>
    <row r="6479" spans="4:5" hidden="1">
      <c r="D6479" s="795"/>
      <c r="E6479" s="795"/>
    </row>
    <row r="6480" spans="4:5" hidden="1">
      <c r="D6480" s="795"/>
      <c r="E6480" s="795"/>
    </row>
    <row r="6481" spans="4:5" hidden="1">
      <c r="D6481" s="795"/>
      <c r="E6481" s="795"/>
    </row>
    <row r="6482" spans="4:5" hidden="1">
      <c r="D6482" s="795"/>
      <c r="E6482" s="795"/>
    </row>
    <row r="6483" spans="4:5" hidden="1">
      <c r="D6483" s="795"/>
      <c r="E6483" s="795"/>
    </row>
    <row r="6484" spans="4:5" hidden="1">
      <c r="D6484" s="795"/>
      <c r="E6484" s="795"/>
    </row>
    <row r="6485" spans="4:5" hidden="1">
      <c r="D6485" s="795"/>
      <c r="E6485" s="795"/>
    </row>
    <row r="6486" spans="4:5" hidden="1">
      <c r="D6486" s="795"/>
      <c r="E6486" s="795"/>
    </row>
    <row r="6487" spans="4:5" hidden="1">
      <c r="D6487" s="795"/>
      <c r="E6487" s="795"/>
    </row>
    <row r="6488" spans="4:5" hidden="1">
      <c r="D6488" s="795"/>
      <c r="E6488" s="795"/>
    </row>
    <row r="6489" spans="4:5" hidden="1">
      <c r="D6489" s="795"/>
      <c r="E6489" s="795"/>
    </row>
    <row r="6490" spans="4:5" hidden="1">
      <c r="D6490" s="795"/>
      <c r="E6490" s="795"/>
    </row>
    <row r="6491" spans="4:5" hidden="1">
      <c r="D6491" s="795"/>
      <c r="E6491" s="795"/>
    </row>
    <row r="6492" spans="4:5" hidden="1">
      <c r="D6492" s="795"/>
      <c r="E6492" s="795"/>
    </row>
    <row r="6493" spans="4:5" hidden="1">
      <c r="D6493" s="795"/>
      <c r="E6493" s="795"/>
    </row>
    <row r="6494" spans="4:5" hidden="1">
      <c r="D6494" s="795"/>
      <c r="E6494" s="795"/>
    </row>
    <row r="6495" spans="4:5" hidden="1">
      <c r="D6495" s="795"/>
      <c r="E6495" s="795"/>
    </row>
    <row r="6496" spans="4:5" hidden="1">
      <c r="D6496" s="795"/>
      <c r="E6496" s="795"/>
    </row>
    <row r="6497" spans="4:5" hidden="1">
      <c r="D6497" s="795"/>
      <c r="E6497" s="795"/>
    </row>
    <row r="6498" spans="4:5" hidden="1">
      <c r="D6498" s="795"/>
      <c r="E6498" s="795"/>
    </row>
    <row r="6499" spans="4:5" hidden="1">
      <c r="D6499" s="795"/>
      <c r="E6499" s="795"/>
    </row>
    <row r="6500" spans="4:5" hidden="1">
      <c r="D6500" s="795"/>
      <c r="E6500" s="795"/>
    </row>
    <row r="6501" spans="4:5" hidden="1">
      <c r="D6501" s="795"/>
      <c r="E6501" s="795"/>
    </row>
    <row r="6502" spans="4:5" hidden="1">
      <c r="D6502" s="795"/>
      <c r="E6502" s="795"/>
    </row>
    <row r="6503" spans="4:5" hidden="1">
      <c r="D6503" s="795"/>
      <c r="E6503" s="795"/>
    </row>
    <row r="6504" spans="4:5" hidden="1">
      <c r="D6504" s="795"/>
      <c r="E6504" s="795"/>
    </row>
    <row r="6505" spans="4:5" hidden="1">
      <c r="D6505" s="795"/>
      <c r="E6505" s="795"/>
    </row>
    <row r="6506" spans="4:5" hidden="1">
      <c r="D6506" s="795"/>
      <c r="E6506" s="795"/>
    </row>
    <row r="6507" spans="4:5" hidden="1">
      <c r="D6507" s="795"/>
      <c r="E6507" s="795"/>
    </row>
    <row r="6508" spans="4:5" hidden="1">
      <c r="D6508" s="795"/>
      <c r="E6508" s="795"/>
    </row>
    <row r="6509" spans="4:5" hidden="1">
      <c r="D6509" s="795"/>
      <c r="E6509" s="795"/>
    </row>
    <row r="6510" spans="4:5" hidden="1">
      <c r="D6510" s="795"/>
      <c r="E6510" s="795"/>
    </row>
    <row r="6511" spans="4:5" hidden="1">
      <c r="D6511" s="795"/>
      <c r="E6511" s="795"/>
    </row>
    <row r="6512" spans="4:5" hidden="1">
      <c r="D6512" s="795"/>
      <c r="E6512" s="795"/>
    </row>
    <row r="6513" spans="4:5" hidden="1">
      <c r="D6513" s="795"/>
      <c r="E6513" s="795"/>
    </row>
    <row r="6514" spans="4:5" hidden="1">
      <c r="D6514" s="795"/>
      <c r="E6514" s="795"/>
    </row>
    <row r="6515" spans="4:5" hidden="1">
      <c r="D6515" s="795"/>
      <c r="E6515" s="795"/>
    </row>
    <row r="6516" spans="4:5" hidden="1">
      <c r="D6516" s="795"/>
      <c r="E6516" s="795"/>
    </row>
    <row r="6517" spans="4:5" hidden="1">
      <c r="D6517" s="795"/>
      <c r="E6517" s="795"/>
    </row>
    <row r="6518" spans="4:5" hidden="1">
      <c r="D6518" s="795"/>
      <c r="E6518" s="795"/>
    </row>
    <row r="6519" spans="4:5" hidden="1">
      <c r="D6519" s="795"/>
      <c r="E6519" s="795"/>
    </row>
    <row r="6520" spans="4:5" hidden="1">
      <c r="D6520" s="795"/>
      <c r="E6520" s="795"/>
    </row>
    <row r="6521" spans="4:5" hidden="1">
      <c r="D6521" s="795"/>
      <c r="E6521" s="795"/>
    </row>
    <row r="6522" spans="4:5" hidden="1">
      <c r="D6522" s="795"/>
      <c r="E6522" s="795"/>
    </row>
    <row r="6523" spans="4:5" hidden="1">
      <c r="D6523" s="795"/>
      <c r="E6523" s="795"/>
    </row>
    <row r="6524" spans="4:5" hidden="1">
      <c r="D6524" s="795"/>
      <c r="E6524" s="795"/>
    </row>
    <row r="6525" spans="4:5" hidden="1">
      <c r="D6525" s="795"/>
      <c r="E6525" s="795"/>
    </row>
    <row r="6526" spans="4:5" hidden="1">
      <c r="D6526" s="795"/>
      <c r="E6526" s="795"/>
    </row>
    <row r="6527" spans="4:5" hidden="1">
      <c r="D6527" s="795"/>
      <c r="E6527" s="795"/>
    </row>
    <row r="6528" spans="4:5" hidden="1">
      <c r="D6528" s="795"/>
      <c r="E6528" s="795"/>
    </row>
    <row r="6529" spans="4:5" hidden="1">
      <c r="D6529" s="795"/>
      <c r="E6529" s="795"/>
    </row>
    <row r="6530" spans="4:5" hidden="1">
      <c r="D6530" s="795"/>
      <c r="E6530" s="795"/>
    </row>
    <row r="6531" spans="4:5" hidden="1">
      <c r="D6531" s="795"/>
      <c r="E6531" s="795"/>
    </row>
    <row r="6532" spans="4:5" hidden="1">
      <c r="D6532" s="795"/>
      <c r="E6532" s="795"/>
    </row>
    <row r="6533" spans="4:5" hidden="1">
      <c r="D6533" s="795"/>
      <c r="E6533" s="795"/>
    </row>
    <row r="6534" spans="4:5" hidden="1">
      <c r="D6534" s="795"/>
      <c r="E6534" s="795"/>
    </row>
    <row r="6535" spans="4:5" hidden="1">
      <c r="D6535" s="795"/>
      <c r="E6535" s="795"/>
    </row>
    <row r="6536" spans="4:5" hidden="1">
      <c r="D6536" s="795"/>
      <c r="E6536" s="795"/>
    </row>
    <row r="6537" spans="4:5" hidden="1">
      <c r="D6537" s="795"/>
      <c r="E6537" s="795"/>
    </row>
    <row r="6538" spans="4:5" hidden="1">
      <c r="D6538" s="795"/>
      <c r="E6538" s="795"/>
    </row>
    <row r="6539" spans="4:5" hidden="1">
      <c r="D6539" s="795"/>
      <c r="E6539" s="795"/>
    </row>
    <row r="6540" spans="4:5" hidden="1">
      <c r="D6540" s="795"/>
      <c r="E6540" s="795"/>
    </row>
    <row r="6541" spans="4:5" hidden="1">
      <c r="D6541" s="795"/>
      <c r="E6541" s="795"/>
    </row>
    <row r="6542" spans="4:5" hidden="1">
      <c r="D6542" s="795"/>
      <c r="E6542" s="795"/>
    </row>
    <row r="6543" spans="4:5" hidden="1">
      <c r="D6543" s="795"/>
      <c r="E6543" s="795"/>
    </row>
    <row r="6544" spans="4:5" hidden="1">
      <c r="D6544" s="795"/>
      <c r="E6544" s="795"/>
    </row>
    <row r="6545" spans="4:5" hidden="1">
      <c r="D6545" s="795"/>
      <c r="E6545" s="795"/>
    </row>
    <row r="6546" spans="4:5" hidden="1">
      <c r="D6546" s="795"/>
      <c r="E6546" s="795"/>
    </row>
    <row r="6547" spans="4:5" hidden="1">
      <c r="D6547" s="795"/>
      <c r="E6547" s="795"/>
    </row>
    <row r="6548" spans="4:5" hidden="1">
      <c r="D6548" s="795"/>
      <c r="E6548" s="795"/>
    </row>
    <row r="6549" spans="4:5" hidden="1">
      <c r="D6549" s="795"/>
      <c r="E6549" s="795"/>
    </row>
    <row r="6550" spans="4:5" hidden="1">
      <c r="D6550" s="795"/>
      <c r="E6550" s="795"/>
    </row>
    <row r="6551" spans="4:5" hidden="1">
      <c r="D6551" s="795"/>
      <c r="E6551" s="795"/>
    </row>
    <row r="6552" spans="4:5" hidden="1">
      <c r="D6552" s="795"/>
      <c r="E6552" s="795"/>
    </row>
    <row r="6553" spans="4:5" hidden="1">
      <c r="D6553" s="795"/>
      <c r="E6553" s="795"/>
    </row>
    <row r="6554" spans="4:5" hidden="1">
      <c r="D6554" s="795"/>
      <c r="E6554" s="795"/>
    </row>
    <row r="6555" spans="4:5" hidden="1">
      <c r="D6555" s="795"/>
      <c r="E6555" s="795"/>
    </row>
    <row r="6556" spans="4:5" hidden="1">
      <c r="D6556" s="795"/>
      <c r="E6556" s="795"/>
    </row>
    <row r="6557" spans="4:5" hidden="1">
      <c r="D6557" s="795"/>
      <c r="E6557" s="795"/>
    </row>
    <row r="6558" spans="4:5" hidden="1">
      <c r="D6558" s="795"/>
      <c r="E6558" s="795"/>
    </row>
    <row r="6559" spans="4:5" hidden="1">
      <c r="D6559" s="795"/>
      <c r="E6559" s="795"/>
    </row>
    <row r="6560" spans="4:5" hidden="1">
      <c r="D6560" s="795"/>
      <c r="E6560" s="795"/>
    </row>
    <row r="6561" spans="4:5" hidden="1">
      <c r="D6561" s="795"/>
      <c r="E6561" s="795"/>
    </row>
    <row r="6562" spans="4:5" hidden="1">
      <c r="D6562" s="795"/>
      <c r="E6562" s="795"/>
    </row>
    <row r="6563" spans="4:5" hidden="1">
      <c r="D6563" s="795"/>
      <c r="E6563" s="795"/>
    </row>
    <row r="6564" spans="4:5" hidden="1">
      <c r="D6564" s="795"/>
      <c r="E6564" s="795"/>
    </row>
    <row r="6565" spans="4:5" hidden="1">
      <c r="D6565" s="795"/>
      <c r="E6565" s="795"/>
    </row>
    <row r="6566" spans="4:5" hidden="1">
      <c r="D6566" s="795"/>
      <c r="E6566" s="795"/>
    </row>
    <row r="6567" spans="4:5" hidden="1">
      <c r="D6567" s="795"/>
      <c r="E6567" s="795"/>
    </row>
    <row r="6568" spans="4:5" hidden="1">
      <c r="D6568" s="795"/>
      <c r="E6568" s="795"/>
    </row>
    <row r="6569" spans="4:5" hidden="1">
      <c r="D6569" s="795"/>
      <c r="E6569" s="795"/>
    </row>
    <row r="6570" spans="4:5" hidden="1">
      <c r="D6570" s="795"/>
      <c r="E6570" s="795"/>
    </row>
    <row r="6571" spans="4:5" hidden="1">
      <c r="D6571" s="795"/>
      <c r="E6571" s="795"/>
    </row>
    <row r="6572" spans="4:5" hidden="1">
      <c r="D6572" s="795"/>
      <c r="E6572" s="795"/>
    </row>
    <row r="6573" spans="4:5" hidden="1">
      <c r="D6573" s="795"/>
      <c r="E6573" s="795"/>
    </row>
    <row r="6574" spans="4:5" hidden="1">
      <c r="D6574" s="795"/>
      <c r="E6574" s="795"/>
    </row>
    <row r="6575" spans="4:5" hidden="1">
      <c r="D6575" s="795"/>
      <c r="E6575" s="795"/>
    </row>
    <row r="6576" spans="4:5" hidden="1">
      <c r="D6576" s="795"/>
      <c r="E6576" s="795"/>
    </row>
    <row r="6577" spans="4:5" hidden="1">
      <c r="D6577" s="795"/>
      <c r="E6577" s="795"/>
    </row>
    <row r="6578" spans="4:5" hidden="1">
      <c r="D6578" s="795"/>
      <c r="E6578" s="795"/>
    </row>
    <row r="6579" spans="4:5" hidden="1">
      <c r="D6579" s="795"/>
      <c r="E6579" s="795"/>
    </row>
    <row r="6580" spans="4:5" hidden="1">
      <c r="D6580" s="795"/>
      <c r="E6580" s="795"/>
    </row>
    <row r="6581" spans="4:5" hidden="1">
      <c r="D6581" s="795"/>
      <c r="E6581" s="795"/>
    </row>
    <row r="6582" spans="4:5" hidden="1">
      <c r="D6582" s="795"/>
      <c r="E6582" s="795"/>
    </row>
    <row r="6583" spans="4:5" hidden="1">
      <c r="D6583" s="795"/>
      <c r="E6583" s="795"/>
    </row>
    <row r="6584" spans="4:5" hidden="1">
      <c r="D6584" s="795"/>
      <c r="E6584" s="795"/>
    </row>
    <row r="6585" spans="4:5" hidden="1">
      <c r="D6585" s="795"/>
      <c r="E6585" s="795"/>
    </row>
    <row r="6586" spans="4:5" hidden="1">
      <c r="D6586" s="795"/>
      <c r="E6586" s="795"/>
    </row>
    <row r="6587" spans="4:5" hidden="1">
      <c r="D6587" s="795"/>
      <c r="E6587" s="795"/>
    </row>
    <row r="6588" spans="4:5" hidden="1">
      <c r="D6588" s="795"/>
      <c r="E6588" s="795"/>
    </row>
    <row r="6589" spans="4:5" hidden="1">
      <c r="D6589" s="795"/>
      <c r="E6589" s="795"/>
    </row>
    <row r="6590" spans="4:5" hidden="1">
      <c r="D6590" s="795"/>
      <c r="E6590" s="795"/>
    </row>
    <row r="6591" spans="4:5" hidden="1">
      <c r="D6591" s="795"/>
      <c r="E6591" s="795"/>
    </row>
    <row r="6592" spans="4:5" hidden="1">
      <c r="D6592" s="795"/>
      <c r="E6592" s="795"/>
    </row>
    <row r="6593" spans="4:5" hidden="1">
      <c r="D6593" s="795"/>
      <c r="E6593" s="795"/>
    </row>
    <row r="6594" spans="4:5" hidden="1">
      <c r="D6594" s="795"/>
      <c r="E6594" s="795"/>
    </row>
    <row r="6595" spans="4:5" hidden="1">
      <c r="D6595" s="795"/>
      <c r="E6595" s="795"/>
    </row>
    <row r="6596" spans="4:5" hidden="1">
      <c r="D6596" s="795"/>
      <c r="E6596" s="795"/>
    </row>
    <row r="6597" spans="4:5" hidden="1">
      <c r="D6597" s="795"/>
      <c r="E6597" s="795"/>
    </row>
    <row r="6598" spans="4:5" hidden="1">
      <c r="D6598" s="795"/>
      <c r="E6598" s="795"/>
    </row>
    <row r="6599" spans="4:5" hidden="1">
      <c r="D6599" s="795"/>
      <c r="E6599" s="795"/>
    </row>
    <row r="6600" spans="4:5" hidden="1">
      <c r="D6600" s="795"/>
      <c r="E6600" s="795"/>
    </row>
    <row r="6601" spans="4:5" hidden="1">
      <c r="D6601" s="795"/>
      <c r="E6601" s="795"/>
    </row>
    <row r="6602" spans="4:5" hidden="1">
      <c r="D6602" s="795"/>
      <c r="E6602" s="795"/>
    </row>
    <row r="6603" spans="4:5" hidden="1">
      <c r="D6603" s="795"/>
      <c r="E6603" s="795"/>
    </row>
    <row r="6604" spans="4:5" hidden="1">
      <c r="D6604" s="795"/>
      <c r="E6604" s="795"/>
    </row>
    <row r="6605" spans="4:5" hidden="1">
      <c r="D6605" s="795"/>
      <c r="E6605" s="795"/>
    </row>
    <row r="6606" spans="4:5" hidden="1">
      <c r="D6606" s="795"/>
      <c r="E6606" s="795"/>
    </row>
    <row r="6607" spans="4:5" hidden="1">
      <c r="D6607" s="795"/>
      <c r="E6607" s="795"/>
    </row>
    <row r="6608" spans="4:5" hidden="1">
      <c r="D6608" s="795"/>
      <c r="E6608" s="795"/>
    </row>
    <row r="6609" spans="4:5" hidden="1">
      <c r="D6609" s="795"/>
      <c r="E6609" s="795"/>
    </row>
    <row r="6610" spans="4:5" hidden="1">
      <c r="D6610" s="795"/>
      <c r="E6610" s="795"/>
    </row>
    <row r="6611" spans="4:5" hidden="1">
      <c r="D6611" s="795"/>
      <c r="E6611" s="795"/>
    </row>
    <row r="6612" spans="4:5" hidden="1">
      <c r="D6612" s="795"/>
      <c r="E6612" s="795"/>
    </row>
    <row r="6613" spans="4:5" hidden="1">
      <c r="D6613" s="795"/>
      <c r="E6613" s="795"/>
    </row>
    <row r="6614" spans="4:5" hidden="1">
      <c r="D6614" s="795"/>
      <c r="E6614" s="795"/>
    </row>
    <row r="6615" spans="4:5" hidden="1">
      <c r="D6615" s="795"/>
      <c r="E6615" s="795"/>
    </row>
    <row r="6616" spans="4:5" hidden="1">
      <c r="D6616" s="795"/>
      <c r="E6616" s="795"/>
    </row>
    <row r="6617" spans="4:5" hidden="1">
      <c r="D6617" s="795"/>
      <c r="E6617" s="795"/>
    </row>
    <row r="6618" spans="4:5" hidden="1">
      <c r="D6618" s="795"/>
      <c r="E6618" s="795"/>
    </row>
    <row r="6619" spans="4:5" hidden="1">
      <c r="D6619" s="795"/>
      <c r="E6619" s="795"/>
    </row>
    <row r="6620" spans="4:5" hidden="1">
      <c r="D6620" s="795"/>
      <c r="E6620" s="795"/>
    </row>
    <row r="6621" spans="4:5" hidden="1">
      <c r="D6621" s="795"/>
      <c r="E6621" s="795"/>
    </row>
    <row r="6622" spans="4:5" hidden="1">
      <c r="D6622" s="795"/>
      <c r="E6622" s="795"/>
    </row>
    <row r="6623" spans="4:5" hidden="1">
      <c r="D6623" s="795"/>
      <c r="E6623" s="795"/>
    </row>
    <row r="6624" spans="4:5" hidden="1">
      <c r="D6624" s="795"/>
      <c r="E6624" s="795"/>
    </row>
    <row r="6625" spans="4:5" hidden="1">
      <c r="D6625" s="795"/>
      <c r="E6625" s="795"/>
    </row>
    <row r="6626" spans="4:5" hidden="1">
      <c r="D6626" s="795"/>
      <c r="E6626" s="795"/>
    </row>
    <row r="6627" spans="4:5" hidden="1">
      <c r="D6627" s="795"/>
      <c r="E6627" s="795"/>
    </row>
    <row r="6628" spans="4:5" hidden="1">
      <c r="D6628" s="795"/>
      <c r="E6628" s="795"/>
    </row>
    <row r="6629" spans="4:5" hidden="1">
      <c r="D6629" s="795"/>
      <c r="E6629" s="795"/>
    </row>
    <row r="6630" spans="4:5" hidden="1">
      <c r="D6630" s="795"/>
      <c r="E6630" s="795"/>
    </row>
    <row r="6631" spans="4:5" hidden="1">
      <c r="D6631" s="795"/>
      <c r="E6631" s="795"/>
    </row>
    <row r="6632" spans="4:5" hidden="1">
      <c r="D6632" s="795"/>
      <c r="E6632" s="795"/>
    </row>
    <row r="6633" spans="4:5" hidden="1">
      <c r="D6633" s="795"/>
      <c r="E6633" s="795"/>
    </row>
    <row r="6634" spans="4:5" hidden="1">
      <c r="D6634" s="795"/>
      <c r="E6634" s="795"/>
    </row>
    <row r="6635" spans="4:5" hidden="1">
      <c r="D6635" s="795"/>
      <c r="E6635" s="795"/>
    </row>
    <row r="6636" spans="4:5" hidden="1">
      <c r="D6636" s="795"/>
      <c r="E6636" s="795"/>
    </row>
    <row r="6637" spans="4:5" hidden="1">
      <c r="D6637" s="795"/>
      <c r="E6637" s="795"/>
    </row>
    <row r="6638" spans="4:5" hidden="1">
      <c r="D6638" s="795"/>
      <c r="E6638" s="795"/>
    </row>
    <row r="6639" spans="4:5" hidden="1">
      <c r="D6639" s="795"/>
      <c r="E6639" s="795"/>
    </row>
    <row r="6640" spans="4:5" hidden="1">
      <c r="D6640" s="795"/>
      <c r="E6640" s="795"/>
    </row>
    <row r="6641" spans="4:5" hidden="1">
      <c r="D6641" s="795"/>
      <c r="E6641" s="795"/>
    </row>
    <row r="6642" spans="4:5" hidden="1">
      <c r="D6642" s="795"/>
      <c r="E6642" s="795"/>
    </row>
    <row r="6643" spans="4:5" hidden="1">
      <c r="D6643" s="795"/>
      <c r="E6643" s="795"/>
    </row>
    <row r="6644" spans="4:5" hidden="1">
      <c r="D6644" s="795"/>
      <c r="E6644" s="795"/>
    </row>
    <row r="6645" spans="4:5" hidden="1">
      <c r="D6645" s="795"/>
      <c r="E6645" s="795"/>
    </row>
    <row r="6646" spans="4:5" hidden="1">
      <c r="D6646" s="795"/>
      <c r="E6646" s="795"/>
    </row>
    <row r="6647" spans="4:5" hidden="1">
      <c r="D6647" s="795"/>
      <c r="E6647" s="795"/>
    </row>
    <row r="6648" spans="4:5" hidden="1">
      <c r="D6648" s="795"/>
      <c r="E6648" s="795"/>
    </row>
    <row r="6649" spans="4:5" hidden="1">
      <c r="D6649" s="795"/>
      <c r="E6649" s="795"/>
    </row>
    <row r="6650" spans="4:5" hidden="1">
      <c r="D6650" s="795"/>
      <c r="E6650" s="795"/>
    </row>
    <row r="6651" spans="4:5" hidden="1">
      <c r="D6651" s="795"/>
      <c r="E6651" s="795"/>
    </row>
    <row r="6652" spans="4:5" hidden="1">
      <c r="D6652" s="795"/>
      <c r="E6652" s="795"/>
    </row>
    <row r="6653" spans="4:5" hidden="1">
      <c r="D6653" s="795"/>
      <c r="E6653" s="795"/>
    </row>
    <row r="6654" spans="4:5" hidden="1">
      <c r="D6654" s="795"/>
      <c r="E6654" s="795"/>
    </row>
    <row r="6655" spans="4:5" hidden="1">
      <c r="D6655" s="795"/>
      <c r="E6655" s="795"/>
    </row>
    <row r="6656" spans="4:5" hidden="1">
      <c r="D6656" s="795"/>
      <c r="E6656" s="795"/>
    </row>
    <row r="6657" spans="4:5" hidden="1">
      <c r="D6657" s="795"/>
      <c r="E6657" s="795"/>
    </row>
    <row r="6658" spans="4:5" hidden="1">
      <c r="D6658" s="795"/>
      <c r="E6658" s="795"/>
    </row>
    <row r="6659" spans="4:5" hidden="1">
      <c r="D6659" s="795"/>
      <c r="E6659" s="795"/>
    </row>
    <row r="6660" spans="4:5" hidden="1">
      <c r="D6660" s="795"/>
      <c r="E6660" s="795"/>
    </row>
    <row r="6661" spans="4:5" hidden="1">
      <c r="D6661" s="795"/>
      <c r="E6661" s="795"/>
    </row>
    <row r="6662" spans="4:5" hidden="1">
      <c r="D6662" s="795"/>
      <c r="E6662" s="795"/>
    </row>
    <row r="6663" spans="4:5" hidden="1">
      <c r="D6663" s="795"/>
      <c r="E6663" s="795"/>
    </row>
    <row r="6664" spans="4:5" hidden="1">
      <c r="D6664" s="795"/>
      <c r="E6664" s="795"/>
    </row>
    <row r="6665" spans="4:5" hidden="1">
      <c r="D6665" s="795"/>
      <c r="E6665" s="795"/>
    </row>
    <row r="6666" spans="4:5" hidden="1">
      <c r="D6666" s="795"/>
      <c r="E6666" s="795"/>
    </row>
    <row r="6667" spans="4:5" hidden="1">
      <c r="D6667" s="795"/>
      <c r="E6667" s="795"/>
    </row>
    <row r="6668" spans="4:5" hidden="1">
      <c r="D6668" s="795"/>
      <c r="E6668" s="795"/>
    </row>
    <row r="6669" spans="4:5" hidden="1">
      <c r="D6669" s="795"/>
      <c r="E6669" s="795"/>
    </row>
    <row r="6670" spans="4:5" hidden="1">
      <c r="D6670" s="795"/>
      <c r="E6670" s="795"/>
    </row>
    <row r="6671" spans="4:5" hidden="1">
      <c r="D6671" s="795"/>
      <c r="E6671" s="795"/>
    </row>
    <row r="6672" spans="4:5" hidden="1">
      <c r="D6672" s="795"/>
      <c r="E6672" s="795"/>
    </row>
    <row r="6673" spans="4:5" hidden="1">
      <c r="D6673" s="795"/>
      <c r="E6673" s="795"/>
    </row>
    <row r="6674" spans="4:5" hidden="1">
      <c r="D6674" s="795"/>
      <c r="E6674" s="795"/>
    </row>
    <row r="6675" spans="4:5" hidden="1">
      <c r="D6675" s="795"/>
      <c r="E6675" s="795"/>
    </row>
    <row r="6676" spans="4:5" hidden="1">
      <c r="D6676" s="795"/>
      <c r="E6676" s="795"/>
    </row>
    <row r="6677" spans="4:5" hidden="1">
      <c r="D6677" s="795"/>
      <c r="E6677" s="795"/>
    </row>
    <row r="6678" spans="4:5" hidden="1">
      <c r="D6678" s="795"/>
      <c r="E6678" s="795"/>
    </row>
    <row r="6679" spans="4:5" hidden="1">
      <c r="D6679" s="795"/>
      <c r="E6679" s="795"/>
    </row>
    <row r="6680" spans="4:5" hidden="1">
      <c r="D6680" s="795"/>
      <c r="E6680" s="795"/>
    </row>
    <row r="6681" spans="4:5" hidden="1">
      <c r="D6681" s="795"/>
      <c r="E6681" s="795"/>
    </row>
    <row r="6682" spans="4:5" hidden="1">
      <c r="D6682" s="795"/>
      <c r="E6682" s="795"/>
    </row>
    <row r="6683" spans="4:5" hidden="1">
      <c r="D6683" s="795"/>
      <c r="E6683" s="795"/>
    </row>
    <row r="6684" spans="4:5" hidden="1">
      <c r="D6684" s="795"/>
      <c r="E6684" s="795"/>
    </row>
    <row r="6685" spans="4:5" hidden="1">
      <c r="D6685" s="795"/>
      <c r="E6685" s="795"/>
    </row>
    <row r="6686" spans="4:5" hidden="1">
      <c r="D6686" s="795"/>
      <c r="E6686" s="795"/>
    </row>
    <row r="6687" spans="4:5" hidden="1">
      <c r="D6687" s="795"/>
      <c r="E6687" s="795"/>
    </row>
    <row r="6688" spans="4:5" hidden="1">
      <c r="D6688" s="795"/>
      <c r="E6688" s="795"/>
    </row>
    <row r="6689" spans="4:5" hidden="1">
      <c r="D6689" s="795"/>
      <c r="E6689" s="795"/>
    </row>
    <row r="6690" spans="4:5" hidden="1">
      <c r="D6690" s="795"/>
      <c r="E6690" s="795"/>
    </row>
    <row r="6691" spans="4:5" hidden="1">
      <c r="D6691" s="795"/>
      <c r="E6691" s="795"/>
    </row>
    <row r="6692" spans="4:5" hidden="1">
      <c r="D6692" s="795"/>
      <c r="E6692" s="795"/>
    </row>
    <row r="6693" spans="4:5" hidden="1">
      <c r="D6693" s="795"/>
      <c r="E6693" s="795"/>
    </row>
    <row r="6694" spans="4:5" hidden="1">
      <c r="D6694" s="795"/>
      <c r="E6694" s="795"/>
    </row>
    <row r="6695" spans="4:5" hidden="1">
      <c r="D6695" s="795"/>
      <c r="E6695" s="795"/>
    </row>
    <row r="6696" spans="4:5" hidden="1">
      <c r="D6696" s="795"/>
      <c r="E6696" s="795"/>
    </row>
    <row r="6697" spans="4:5" hidden="1">
      <c r="D6697" s="795"/>
      <c r="E6697" s="795"/>
    </row>
    <row r="6698" spans="4:5" hidden="1">
      <c r="D6698" s="795"/>
      <c r="E6698" s="795"/>
    </row>
    <row r="6699" spans="4:5" hidden="1">
      <c r="D6699" s="795"/>
      <c r="E6699" s="795"/>
    </row>
    <row r="6700" spans="4:5" hidden="1">
      <c r="D6700" s="795"/>
      <c r="E6700" s="795"/>
    </row>
    <row r="6701" spans="4:5" hidden="1">
      <c r="D6701" s="795"/>
      <c r="E6701" s="795"/>
    </row>
    <row r="6702" spans="4:5" hidden="1">
      <c r="D6702" s="795"/>
      <c r="E6702" s="795"/>
    </row>
    <row r="6703" spans="4:5" hidden="1">
      <c r="D6703" s="795"/>
      <c r="E6703" s="795"/>
    </row>
    <row r="6704" spans="4:5" hidden="1">
      <c r="D6704" s="795"/>
      <c r="E6704" s="795"/>
    </row>
    <row r="6705" spans="4:5" hidden="1">
      <c r="D6705" s="795"/>
      <c r="E6705" s="795"/>
    </row>
    <row r="6706" spans="4:5" hidden="1">
      <c r="D6706" s="795"/>
      <c r="E6706" s="795"/>
    </row>
    <row r="6707" spans="4:5" hidden="1">
      <c r="D6707" s="795"/>
      <c r="E6707" s="795"/>
    </row>
    <row r="6708" spans="4:5" hidden="1">
      <c r="D6708" s="795"/>
      <c r="E6708" s="795"/>
    </row>
    <row r="6709" spans="4:5" hidden="1">
      <c r="D6709" s="795"/>
      <c r="E6709" s="795"/>
    </row>
    <row r="6710" spans="4:5" hidden="1">
      <c r="D6710" s="795"/>
      <c r="E6710" s="795"/>
    </row>
    <row r="6711" spans="4:5" hidden="1">
      <c r="D6711" s="795"/>
      <c r="E6711" s="795"/>
    </row>
    <row r="6712" spans="4:5" hidden="1">
      <c r="D6712" s="795"/>
      <c r="E6712" s="795"/>
    </row>
    <row r="6713" spans="4:5" hidden="1">
      <c r="D6713" s="795"/>
      <c r="E6713" s="795"/>
    </row>
    <row r="6714" spans="4:5" hidden="1">
      <c r="D6714" s="795"/>
      <c r="E6714" s="795"/>
    </row>
    <row r="6715" spans="4:5" hidden="1">
      <c r="D6715" s="795"/>
      <c r="E6715" s="795"/>
    </row>
    <row r="6716" spans="4:5" hidden="1">
      <c r="D6716" s="795"/>
      <c r="E6716" s="795"/>
    </row>
    <row r="6717" spans="4:5" hidden="1">
      <c r="D6717" s="795"/>
      <c r="E6717" s="795"/>
    </row>
    <row r="6718" spans="4:5" hidden="1">
      <c r="D6718" s="795"/>
      <c r="E6718" s="795"/>
    </row>
    <row r="6719" spans="4:5" hidden="1">
      <c r="D6719" s="795"/>
      <c r="E6719" s="795"/>
    </row>
    <row r="6720" spans="4:5" hidden="1">
      <c r="D6720" s="795"/>
      <c r="E6720" s="795"/>
    </row>
    <row r="6721" spans="4:5" hidden="1">
      <c r="D6721" s="795"/>
      <c r="E6721" s="795"/>
    </row>
    <row r="6722" spans="4:5" hidden="1">
      <c r="D6722" s="795"/>
      <c r="E6722" s="795"/>
    </row>
    <row r="6723" spans="4:5" hidden="1">
      <c r="D6723" s="795"/>
      <c r="E6723" s="795"/>
    </row>
    <row r="6724" spans="4:5" hidden="1">
      <c r="D6724" s="795"/>
      <c r="E6724" s="795"/>
    </row>
    <row r="6725" spans="4:5" hidden="1">
      <c r="D6725" s="795"/>
      <c r="E6725" s="795"/>
    </row>
    <row r="6726" spans="4:5" hidden="1">
      <c r="D6726" s="795"/>
      <c r="E6726" s="795"/>
    </row>
    <row r="6727" spans="4:5" hidden="1">
      <c r="D6727" s="795"/>
      <c r="E6727" s="795"/>
    </row>
    <row r="6728" spans="4:5" hidden="1">
      <c r="D6728" s="795"/>
      <c r="E6728" s="795"/>
    </row>
    <row r="6729" spans="4:5" hidden="1">
      <c r="D6729" s="795"/>
      <c r="E6729" s="795"/>
    </row>
    <row r="6730" spans="4:5" hidden="1">
      <c r="D6730" s="795"/>
      <c r="E6730" s="795"/>
    </row>
    <row r="6731" spans="4:5" hidden="1">
      <c r="D6731" s="795"/>
      <c r="E6731" s="795"/>
    </row>
    <row r="6732" spans="4:5" hidden="1">
      <c r="D6732" s="795"/>
      <c r="E6732" s="795"/>
    </row>
    <row r="6733" spans="4:5" hidden="1">
      <c r="D6733" s="795"/>
      <c r="E6733" s="795"/>
    </row>
    <row r="6734" spans="4:5" hidden="1">
      <c r="D6734" s="795"/>
      <c r="E6734" s="795"/>
    </row>
    <row r="6735" spans="4:5" hidden="1">
      <c r="D6735" s="795"/>
      <c r="E6735" s="795"/>
    </row>
    <row r="6736" spans="4:5" hidden="1">
      <c r="D6736" s="795"/>
      <c r="E6736" s="795"/>
    </row>
    <row r="6737" spans="4:5" hidden="1">
      <c r="D6737" s="795"/>
      <c r="E6737" s="795"/>
    </row>
    <row r="6738" spans="4:5" hidden="1">
      <c r="D6738" s="795"/>
      <c r="E6738" s="795"/>
    </row>
    <row r="6739" spans="4:5" hidden="1">
      <c r="D6739" s="795"/>
      <c r="E6739" s="795"/>
    </row>
    <row r="6740" spans="4:5" hidden="1">
      <c r="D6740" s="795"/>
      <c r="E6740" s="795"/>
    </row>
    <row r="6741" spans="4:5" hidden="1">
      <c r="D6741" s="795"/>
      <c r="E6741" s="795"/>
    </row>
    <row r="6742" spans="4:5" hidden="1">
      <c r="D6742" s="795"/>
      <c r="E6742" s="795"/>
    </row>
    <row r="6743" spans="4:5" hidden="1">
      <c r="D6743" s="795"/>
      <c r="E6743" s="795"/>
    </row>
    <row r="6744" spans="4:5" hidden="1">
      <c r="D6744" s="795"/>
      <c r="E6744" s="795"/>
    </row>
    <row r="6745" spans="4:5" hidden="1">
      <c r="D6745" s="795"/>
      <c r="E6745" s="795"/>
    </row>
    <row r="6746" spans="4:5" hidden="1">
      <c r="D6746" s="795"/>
      <c r="E6746" s="795"/>
    </row>
    <row r="6747" spans="4:5" hidden="1">
      <c r="D6747" s="795"/>
      <c r="E6747" s="795"/>
    </row>
    <row r="6748" spans="4:5" hidden="1">
      <c r="D6748" s="795"/>
      <c r="E6748" s="795"/>
    </row>
    <row r="6749" spans="4:5" hidden="1">
      <c r="D6749" s="795"/>
      <c r="E6749" s="795"/>
    </row>
    <row r="6750" spans="4:5" hidden="1">
      <c r="D6750" s="795"/>
      <c r="E6750" s="795"/>
    </row>
    <row r="6751" spans="4:5" hidden="1">
      <c r="D6751" s="795"/>
      <c r="E6751" s="795"/>
    </row>
    <row r="6752" spans="4:5" hidden="1">
      <c r="D6752" s="795"/>
      <c r="E6752" s="795"/>
    </row>
    <row r="6753" spans="4:5" hidden="1">
      <c r="D6753" s="795"/>
      <c r="E6753" s="795"/>
    </row>
    <row r="6754" spans="4:5" hidden="1">
      <c r="D6754" s="795"/>
      <c r="E6754" s="795"/>
    </row>
    <row r="6755" spans="4:5" hidden="1">
      <c r="D6755" s="795"/>
      <c r="E6755" s="795"/>
    </row>
    <row r="6756" spans="4:5" hidden="1">
      <c r="D6756" s="795"/>
      <c r="E6756" s="795"/>
    </row>
    <row r="6757" spans="4:5" hidden="1">
      <c r="D6757" s="795"/>
      <c r="E6757" s="795"/>
    </row>
    <row r="6758" spans="4:5" hidden="1">
      <c r="D6758" s="795"/>
      <c r="E6758" s="795"/>
    </row>
    <row r="6759" spans="4:5" hidden="1">
      <c r="D6759" s="795"/>
      <c r="E6759" s="795"/>
    </row>
    <row r="6760" spans="4:5" hidden="1">
      <c r="D6760" s="795"/>
      <c r="E6760" s="795"/>
    </row>
    <row r="6761" spans="4:5" hidden="1">
      <c r="D6761" s="795"/>
      <c r="E6761" s="795"/>
    </row>
    <row r="6762" spans="4:5" hidden="1">
      <c r="D6762" s="795"/>
      <c r="E6762" s="795"/>
    </row>
    <row r="6763" spans="4:5" hidden="1">
      <c r="D6763" s="795"/>
      <c r="E6763" s="795"/>
    </row>
    <row r="6764" spans="4:5" hidden="1">
      <c r="D6764" s="795"/>
      <c r="E6764" s="795"/>
    </row>
    <row r="6765" spans="4:5" hidden="1">
      <c r="D6765" s="795"/>
      <c r="E6765" s="795"/>
    </row>
    <row r="6766" spans="4:5" hidden="1">
      <c r="D6766" s="795"/>
      <c r="E6766" s="795"/>
    </row>
    <row r="6767" spans="4:5" hidden="1">
      <c r="D6767" s="795"/>
      <c r="E6767" s="795"/>
    </row>
    <row r="6768" spans="4:5" hidden="1">
      <c r="D6768" s="795"/>
      <c r="E6768" s="795"/>
    </row>
    <row r="6769" spans="4:5" hidden="1">
      <c r="D6769" s="795"/>
      <c r="E6769" s="795"/>
    </row>
    <row r="6770" spans="4:5" hidden="1">
      <c r="D6770" s="795"/>
      <c r="E6770" s="795"/>
    </row>
    <row r="6771" spans="4:5" hidden="1">
      <c r="D6771" s="795"/>
      <c r="E6771" s="795"/>
    </row>
    <row r="6772" spans="4:5" hidden="1">
      <c r="D6772" s="795"/>
      <c r="E6772" s="795"/>
    </row>
    <row r="6773" spans="4:5" hidden="1">
      <c r="D6773" s="795"/>
      <c r="E6773" s="795"/>
    </row>
    <row r="6774" spans="4:5" hidden="1">
      <c r="D6774" s="795"/>
      <c r="E6774" s="795"/>
    </row>
    <row r="6775" spans="4:5" hidden="1">
      <c r="D6775" s="795"/>
      <c r="E6775" s="795"/>
    </row>
    <row r="6776" spans="4:5" hidden="1">
      <c r="D6776" s="795"/>
      <c r="E6776" s="795"/>
    </row>
    <row r="6777" spans="4:5" hidden="1">
      <c r="D6777" s="795"/>
      <c r="E6777" s="795"/>
    </row>
    <row r="6778" spans="4:5" hidden="1">
      <c r="D6778" s="795"/>
      <c r="E6778" s="795"/>
    </row>
    <row r="6779" spans="4:5" hidden="1">
      <c r="D6779" s="795"/>
      <c r="E6779" s="795"/>
    </row>
    <row r="6780" spans="4:5" hidden="1">
      <c r="D6780" s="795"/>
      <c r="E6780" s="795"/>
    </row>
    <row r="6781" spans="4:5" hidden="1">
      <c r="D6781" s="795"/>
      <c r="E6781" s="795"/>
    </row>
    <row r="6782" spans="4:5" hidden="1">
      <c r="D6782" s="795"/>
      <c r="E6782" s="795"/>
    </row>
    <row r="6783" spans="4:5" hidden="1">
      <c r="D6783" s="795"/>
      <c r="E6783" s="795"/>
    </row>
    <row r="6784" spans="4:5" hidden="1">
      <c r="D6784" s="795"/>
      <c r="E6784" s="795"/>
    </row>
    <row r="6785" spans="4:5" hidden="1">
      <c r="D6785" s="795"/>
      <c r="E6785" s="795"/>
    </row>
    <row r="6786" spans="4:5" hidden="1">
      <c r="D6786" s="795"/>
      <c r="E6786" s="795"/>
    </row>
    <row r="6787" spans="4:5" hidden="1">
      <c r="D6787" s="795"/>
      <c r="E6787" s="795"/>
    </row>
    <row r="6788" spans="4:5" hidden="1">
      <c r="D6788" s="795"/>
      <c r="E6788" s="795"/>
    </row>
    <row r="6789" spans="4:5" hidden="1">
      <c r="D6789" s="795"/>
      <c r="E6789" s="795"/>
    </row>
    <row r="6790" spans="4:5" hidden="1">
      <c r="D6790" s="795"/>
      <c r="E6790" s="795"/>
    </row>
    <row r="6791" spans="4:5" hidden="1">
      <c r="D6791" s="795"/>
      <c r="E6791" s="795"/>
    </row>
    <row r="6792" spans="4:5" hidden="1">
      <c r="D6792" s="795"/>
      <c r="E6792" s="795"/>
    </row>
    <row r="6793" spans="4:5" hidden="1">
      <c r="D6793" s="795"/>
      <c r="E6793" s="795"/>
    </row>
    <row r="6794" spans="4:5" hidden="1">
      <c r="D6794" s="795"/>
      <c r="E6794" s="795"/>
    </row>
    <row r="6795" spans="4:5" hidden="1">
      <c r="D6795" s="795"/>
      <c r="E6795" s="795"/>
    </row>
    <row r="6796" spans="4:5" hidden="1">
      <c r="D6796" s="795"/>
      <c r="E6796" s="795"/>
    </row>
    <row r="6797" spans="4:5" hidden="1">
      <c r="D6797" s="795"/>
      <c r="E6797" s="795"/>
    </row>
    <row r="6798" spans="4:5" hidden="1">
      <c r="D6798" s="795"/>
      <c r="E6798" s="795"/>
    </row>
    <row r="6799" spans="4:5" hidden="1">
      <c r="D6799" s="795"/>
      <c r="E6799" s="795"/>
    </row>
    <row r="6800" spans="4:5" hidden="1">
      <c r="D6800" s="795"/>
      <c r="E6800" s="795"/>
    </row>
    <row r="6801" spans="4:5" hidden="1">
      <c r="D6801" s="795"/>
      <c r="E6801" s="795"/>
    </row>
    <row r="6802" spans="4:5" hidden="1">
      <c r="D6802" s="795"/>
      <c r="E6802" s="795"/>
    </row>
    <row r="6803" spans="4:5" hidden="1">
      <c r="D6803" s="795"/>
      <c r="E6803" s="795"/>
    </row>
    <row r="6804" spans="4:5" hidden="1">
      <c r="D6804" s="795"/>
      <c r="E6804" s="795"/>
    </row>
    <row r="6805" spans="4:5" hidden="1">
      <c r="D6805" s="795"/>
      <c r="E6805" s="795"/>
    </row>
    <row r="6806" spans="4:5" hidden="1">
      <c r="D6806" s="795"/>
      <c r="E6806" s="795"/>
    </row>
    <row r="6807" spans="4:5" hidden="1">
      <c r="D6807" s="795"/>
      <c r="E6807" s="795"/>
    </row>
    <row r="6808" spans="4:5" hidden="1">
      <c r="D6808" s="795"/>
      <c r="E6808" s="795"/>
    </row>
    <row r="6809" spans="4:5" hidden="1">
      <c r="D6809" s="795"/>
      <c r="E6809" s="795"/>
    </row>
    <row r="6810" spans="4:5" hidden="1">
      <c r="D6810" s="795"/>
      <c r="E6810" s="795"/>
    </row>
    <row r="6811" spans="4:5" hidden="1">
      <c r="D6811" s="795"/>
      <c r="E6811" s="795"/>
    </row>
    <row r="6812" spans="4:5" hidden="1">
      <c r="D6812" s="795"/>
      <c r="E6812" s="795"/>
    </row>
    <row r="6813" spans="4:5" hidden="1">
      <c r="D6813" s="795"/>
      <c r="E6813" s="795"/>
    </row>
    <row r="6814" spans="4:5" hidden="1">
      <c r="D6814" s="795"/>
      <c r="E6814" s="795"/>
    </row>
    <row r="6815" spans="4:5" hidden="1">
      <c r="D6815" s="795"/>
      <c r="E6815" s="795"/>
    </row>
    <row r="6816" spans="4:5" hidden="1">
      <c r="D6816" s="795"/>
      <c r="E6816" s="795"/>
    </row>
    <row r="6817" spans="4:5" hidden="1">
      <c r="D6817" s="795"/>
      <c r="E6817" s="795"/>
    </row>
    <row r="6818" spans="4:5" hidden="1">
      <c r="D6818" s="795"/>
      <c r="E6818" s="795"/>
    </row>
    <row r="6819" spans="4:5" hidden="1">
      <c r="D6819" s="795"/>
      <c r="E6819" s="795"/>
    </row>
    <row r="6820" spans="4:5" hidden="1">
      <c r="D6820" s="795"/>
      <c r="E6820" s="795"/>
    </row>
    <row r="6821" spans="4:5" hidden="1">
      <c r="D6821" s="795"/>
      <c r="E6821" s="795"/>
    </row>
    <row r="6822" spans="4:5" hidden="1">
      <c r="D6822" s="795"/>
      <c r="E6822" s="795"/>
    </row>
    <row r="6823" spans="4:5" hidden="1">
      <c r="D6823" s="795"/>
      <c r="E6823" s="795"/>
    </row>
    <row r="6824" spans="4:5" hidden="1">
      <c r="D6824" s="795"/>
      <c r="E6824" s="795"/>
    </row>
    <row r="6825" spans="4:5" hidden="1">
      <c r="D6825" s="795"/>
      <c r="E6825" s="795"/>
    </row>
    <row r="6826" spans="4:5" hidden="1">
      <c r="D6826" s="795"/>
      <c r="E6826" s="795"/>
    </row>
    <row r="6827" spans="4:5" hidden="1">
      <c r="D6827" s="795"/>
      <c r="E6827" s="795"/>
    </row>
    <row r="6828" spans="4:5" hidden="1">
      <c r="D6828" s="795"/>
      <c r="E6828" s="795"/>
    </row>
    <row r="6829" spans="4:5" hidden="1">
      <c r="D6829" s="795"/>
      <c r="E6829" s="795"/>
    </row>
    <row r="6830" spans="4:5" hidden="1">
      <c r="D6830" s="795"/>
      <c r="E6830" s="795"/>
    </row>
    <row r="6831" spans="4:5" hidden="1">
      <c r="D6831" s="795"/>
      <c r="E6831" s="795"/>
    </row>
    <row r="6832" spans="4:5" hidden="1">
      <c r="D6832" s="795"/>
      <c r="E6832" s="795"/>
    </row>
    <row r="6833" spans="4:5" hidden="1">
      <c r="D6833" s="795"/>
      <c r="E6833" s="795"/>
    </row>
    <row r="6834" spans="4:5" hidden="1">
      <c r="D6834" s="795"/>
      <c r="E6834" s="795"/>
    </row>
    <row r="6835" spans="4:5" hidden="1">
      <c r="D6835" s="795"/>
      <c r="E6835" s="795"/>
    </row>
    <row r="6836" spans="4:5" hidden="1">
      <c r="D6836" s="795"/>
      <c r="E6836" s="795"/>
    </row>
    <row r="6837" spans="4:5" hidden="1">
      <c r="D6837" s="795"/>
      <c r="E6837" s="795"/>
    </row>
    <row r="6838" spans="4:5" hidden="1">
      <c r="D6838" s="795"/>
      <c r="E6838" s="795"/>
    </row>
    <row r="6839" spans="4:5" hidden="1">
      <c r="D6839" s="795"/>
      <c r="E6839" s="795"/>
    </row>
    <row r="6840" spans="4:5" hidden="1">
      <c r="D6840" s="795"/>
      <c r="E6840" s="795"/>
    </row>
    <row r="6841" spans="4:5" hidden="1">
      <c r="D6841" s="795"/>
      <c r="E6841" s="795"/>
    </row>
    <row r="6842" spans="4:5" hidden="1">
      <c r="D6842" s="795"/>
      <c r="E6842" s="795"/>
    </row>
    <row r="6843" spans="4:5" hidden="1">
      <c r="D6843" s="795"/>
      <c r="E6843" s="795"/>
    </row>
    <row r="6844" spans="4:5" hidden="1">
      <c r="D6844" s="795"/>
      <c r="E6844" s="795"/>
    </row>
    <row r="6845" spans="4:5" hidden="1">
      <c r="D6845" s="795"/>
      <c r="E6845" s="795"/>
    </row>
    <row r="6846" spans="4:5" hidden="1">
      <c r="D6846" s="795"/>
      <c r="E6846" s="795"/>
    </row>
    <row r="6847" spans="4:5" hidden="1">
      <c r="D6847" s="795"/>
      <c r="E6847" s="795"/>
    </row>
    <row r="6848" spans="4:5" hidden="1">
      <c r="D6848" s="795"/>
      <c r="E6848" s="795"/>
    </row>
    <row r="6849" spans="4:5" hidden="1">
      <c r="D6849" s="795"/>
      <c r="E6849" s="795"/>
    </row>
    <row r="6850" spans="4:5" hidden="1">
      <c r="D6850" s="795"/>
      <c r="E6850" s="795"/>
    </row>
    <row r="6851" spans="4:5" hidden="1">
      <c r="D6851" s="795"/>
      <c r="E6851" s="795"/>
    </row>
    <row r="6852" spans="4:5" hidden="1">
      <c r="D6852" s="795"/>
      <c r="E6852" s="795"/>
    </row>
    <row r="6853" spans="4:5" hidden="1">
      <c r="D6853" s="795"/>
      <c r="E6853" s="795"/>
    </row>
    <row r="6854" spans="4:5" hidden="1">
      <c r="D6854" s="795"/>
      <c r="E6854" s="795"/>
    </row>
    <row r="6855" spans="4:5" hidden="1">
      <c r="D6855" s="795"/>
      <c r="E6855" s="795"/>
    </row>
    <row r="6856" spans="4:5" hidden="1">
      <c r="D6856" s="795"/>
      <c r="E6856" s="795"/>
    </row>
    <row r="6857" spans="4:5" hidden="1">
      <c r="D6857" s="795"/>
      <c r="E6857" s="795"/>
    </row>
    <row r="6858" spans="4:5" hidden="1">
      <c r="D6858" s="795"/>
      <c r="E6858" s="795"/>
    </row>
    <row r="6859" spans="4:5" hidden="1">
      <c r="D6859" s="795"/>
      <c r="E6859" s="795"/>
    </row>
    <row r="6860" spans="4:5" hidden="1">
      <c r="D6860" s="795"/>
      <c r="E6860" s="795"/>
    </row>
    <row r="6861" spans="4:5" hidden="1">
      <c r="D6861" s="795"/>
      <c r="E6861" s="795"/>
    </row>
    <row r="6862" spans="4:5" hidden="1">
      <c r="D6862" s="795"/>
      <c r="E6862" s="795"/>
    </row>
    <row r="6863" spans="4:5" hidden="1">
      <c r="D6863" s="795"/>
      <c r="E6863" s="795"/>
    </row>
    <row r="6864" spans="4:5" hidden="1">
      <c r="D6864" s="795"/>
      <c r="E6864" s="795"/>
    </row>
    <row r="6865" spans="4:5" hidden="1">
      <c r="D6865" s="795"/>
      <c r="E6865" s="795"/>
    </row>
    <row r="6866" spans="4:5" hidden="1">
      <c r="D6866" s="795"/>
      <c r="E6866" s="795"/>
    </row>
    <row r="6867" spans="4:5" hidden="1">
      <c r="D6867" s="795"/>
      <c r="E6867" s="795"/>
    </row>
    <row r="6868" spans="4:5" hidden="1">
      <c r="D6868" s="795"/>
      <c r="E6868" s="795"/>
    </row>
    <row r="6869" spans="4:5" hidden="1">
      <c r="D6869" s="795"/>
      <c r="E6869" s="795"/>
    </row>
    <row r="6870" spans="4:5" hidden="1">
      <c r="D6870" s="795"/>
      <c r="E6870" s="795"/>
    </row>
    <row r="6871" spans="4:5" hidden="1">
      <c r="D6871" s="795"/>
      <c r="E6871" s="795"/>
    </row>
    <row r="6872" spans="4:5" hidden="1">
      <c r="D6872" s="795"/>
      <c r="E6872" s="795"/>
    </row>
    <row r="6873" spans="4:5" hidden="1">
      <c r="D6873" s="795"/>
      <c r="E6873" s="795"/>
    </row>
    <row r="6874" spans="4:5" hidden="1">
      <c r="D6874" s="795"/>
      <c r="E6874" s="795"/>
    </row>
    <row r="6875" spans="4:5" hidden="1">
      <c r="D6875" s="795"/>
      <c r="E6875" s="795"/>
    </row>
    <row r="6876" spans="4:5" hidden="1">
      <c r="D6876" s="795"/>
      <c r="E6876" s="795"/>
    </row>
    <row r="6877" spans="4:5" hidden="1">
      <c r="D6877" s="795"/>
      <c r="E6877" s="795"/>
    </row>
    <row r="6878" spans="4:5" hidden="1">
      <c r="D6878" s="795"/>
      <c r="E6878" s="795"/>
    </row>
    <row r="6879" spans="4:5" hidden="1">
      <c r="D6879" s="795"/>
      <c r="E6879" s="795"/>
    </row>
    <row r="6880" spans="4:5" hidden="1">
      <c r="D6880" s="795"/>
      <c r="E6880" s="795"/>
    </row>
    <row r="6881" spans="4:5" hidden="1">
      <c r="D6881" s="795"/>
      <c r="E6881" s="795"/>
    </row>
    <row r="6882" spans="4:5" hidden="1">
      <c r="D6882" s="795"/>
      <c r="E6882" s="795"/>
    </row>
    <row r="6883" spans="4:5" hidden="1">
      <c r="D6883" s="795"/>
      <c r="E6883" s="795"/>
    </row>
    <row r="6884" spans="4:5" hidden="1">
      <c r="D6884" s="795"/>
      <c r="E6884" s="795"/>
    </row>
    <row r="6885" spans="4:5" hidden="1">
      <c r="D6885" s="795"/>
      <c r="E6885" s="795"/>
    </row>
    <row r="6886" spans="4:5" hidden="1">
      <c r="D6886" s="795"/>
      <c r="E6886" s="795"/>
    </row>
    <row r="6887" spans="4:5" hidden="1">
      <c r="D6887" s="795"/>
      <c r="E6887" s="795"/>
    </row>
    <row r="6888" spans="4:5" hidden="1">
      <c r="D6888" s="795"/>
      <c r="E6888" s="795"/>
    </row>
    <row r="6889" spans="4:5" hidden="1">
      <c r="D6889" s="795"/>
      <c r="E6889" s="795"/>
    </row>
    <row r="6890" spans="4:5" hidden="1">
      <c r="D6890" s="795"/>
      <c r="E6890" s="795"/>
    </row>
    <row r="6891" spans="4:5" hidden="1">
      <c r="D6891" s="795"/>
      <c r="E6891" s="795"/>
    </row>
    <row r="6892" spans="4:5" hidden="1">
      <c r="D6892" s="795"/>
      <c r="E6892" s="795"/>
    </row>
    <row r="6893" spans="4:5" hidden="1">
      <c r="D6893" s="795"/>
      <c r="E6893" s="795"/>
    </row>
    <row r="6894" spans="4:5" hidden="1">
      <c r="D6894" s="795"/>
      <c r="E6894" s="795"/>
    </row>
    <row r="6895" spans="4:5" hidden="1">
      <c r="D6895" s="795"/>
      <c r="E6895" s="795"/>
    </row>
    <row r="6896" spans="4:5" hidden="1">
      <c r="D6896" s="795"/>
      <c r="E6896" s="795"/>
    </row>
    <row r="6897" spans="4:5" hidden="1">
      <c r="D6897" s="795"/>
      <c r="E6897" s="795"/>
    </row>
    <row r="6898" spans="4:5" hidden="1">
      <c r="D6898" s="795"/>
      <c r="E6898" s="795"/>
    </row>
    <row r="6899" spans="4:5" hidden="1">
      <c r="D6899" s="795"/>
      <c r="E6899" s="795"/>
    </row>
    <row r="6900" spans="4:5" hidden="1">
      <c r="D6900" s="795"/>
      <c r="E6900" s="795"/>
    </row>
    <row r="6901" spans="4:5" hidden="1">
      <c r="D6901" s="795"/>
      <c r="E6901" s="795"/>
    </row>
    <row r="6902" spans="4:5" hidden="1">
      <c r="D6902" s="795"/>
      <c r="E6902" s="795"/>
    </row>
    <row r="6903" spans="4:5" hidden="1">
      <c r="D6903" s="795"/>
      <c r="E6903" s="795"/>
    </row>
    <row r="6904" spans="4:5" hidden="1">
      <c r="D6904" s="795"/>
      <c r="E6904" s="795"/>
    </row>
    <row r="6905" spans="4:5" hidden="1">
      <c r="D6905" s="795"/>
      <c r="E6905" s="795"/>
    </row>
    <row r="6906" spans="4:5" hidden="1">
      <c r="D6906" s="795"/>
      <c r="E6906" s="795"/>
    </row>
    <row r="6907" spans="4:5" hidden="1">
      <c r="D6907" s="795"/>
      <c r="E6907" s="795"/>
    </row>
    <row r="6908" spans="4:5" hidden="1">
      <c r="D6908" s="795"/>
      <c r="E6908" s="795"/>
    </row>
    <row r="6909" spans="4:5" hidden="1">
      <c r="D6909" s="795"/>
      <c r="E6909" s="795"/>
    </row>
    <row r="6910" spans="4:5" hidden="1">
      <c r="D6910" s="795"/>
      <c r="E6910" s="795"/>
    </row>
    <row r="6911" spans="4:5" hidden="1">
      <c r="D6911" s="795"/>
      <c r="E6911" s="795"/>
    </row>
    <row r="6912" spans="4:5" hidden="1">
      <c r="D6912" s="795"/>
      <c r="E6912" s="795"/>
    </row>
    <row r="6913" spans="4:5" hidden="1">
      <c r="D6913" s="795"/>
      <c r="E6913" s="795"/>
    </row>
    <row r="6914" spans="4:5" hidden="1">
      <c r="D6914" s="795"/>
      <c r="E6914" s="795"/>
    </row>
    <row r="6915" spans="4:5" hidden="1">
      <c r="D6915" s="795"/>
      <c r="E6915" s="795"/>
    </row>
    <row r="6916" spans="4:5" hidden="1">
      <c r="D6916" s="795"/>
      <c r="E6916" s="795"/>
    </row>
    <row r="6917" spans="4:5" hidden="1">
      <c r="D6917" s="795"/>
      <c r="E6917" s="795"/>
    </row>
    <row r="6918" spans="4:5" hidden="1">
      <c r="D6918" s="795"/>
      <c r="E6918" s="795"/>
    </row>
    <row r="6919" spans="4:5" hidden="1">
      <c r="D6919" s="795"/>
      <c r="E6919" s="795"/>
    </row>
    <row r="6920" spans="4:5" hidden="1">
      <c r="D6920" s="795"/>
      <c r="E6920" s="795"/>
    </row>
    <row r="6921" spans="4:5" hidden="1">
      <c r="D6921" s="795"/>
      <c r="E6921" s="795"/>
    </row>
    <row r="6922" spans="4:5" hidden="1">
      <c r="D6922" s="795"/>
      <c r="E6922" s="795"/>
    </row>
    <row r="6923" spans="4:5" hidden="1">
      <c r="D6923" s="795"/>
      <c r="E6923" s="795"/>
    </row>
    <row r="6924" spans="4:5" hidden="1">
      <c r="D6924" s="795"/>
      <c r="E6924" s="795"/>
    </row>
    <row r="6925" spans="4:5" hidden="1">
      <c r="D6925" s="795"/>
      <c r="E6925" s="795"/>
    </row>
    <row r="6926" spans="4:5" hidden="1">
      <c r="D6926" s="795"/>
      <c r="E6926" s="795"/>
    </row>
    <row r="6927" spans="4:5" hidden="1">
      <c r="D6927" s="795"/>
      <c r="E6927" s="795"/>
    </row>
    <row r="6928" spans="4:5" hidden="1">
      <c r="D6928" s="795"/>
      <c r="E6928" s="795"/>
    </row>
    <row r="6929" spans="4:5" hidden="1">
      <c r="D6929" s="795"/>
      <c r="E6929" s="795"/>
    </row>
    <row r="6930" spans="4:5" hidden="1">
      <c r="D6930" s="795"/>
      <c r="E6930" s="795"/>
    </row>
    <row r="6931" spans="4:5" hidden="1">
      <c r="D6931" s="795"/>
      <c r="E6931" s="795"/>
    </row>
    <row r="6932" spans="4:5" hidden="1">
      <c r="D6932" s="795"/>
      <c r="E6932" s="795"/>
    </row>
    <row r="6933" spans="4:5" hidden="1">
      <c r="D6933" s="795"/>
      <c r="E6933" s="795"/>
    </row>
    <row r="6934" spans="4:5" hidden="1">
      <c r="D6934" s="795"/>
      <c r="E6934" s="795"/>
    </row>
    <row r="6935" spans="4:5" hidden="1">
      <c r="D6935" s="795"/>
      <c r="E6935" s="795"/>
    </row>
    <row r="6936" spans="4:5" hidden="1">
      <c r="D6936" s="795"/>
      <c r="E6936" s="795"/>
    </row>
    <row r="6937" spans="4:5" hidden="1">
      <c r="D6937" s="795"/>
      <c r="E6937" s="795"/>
    </row>
    <row r="6938" spans="4:5" hidden="1">
      <c r="D6938" s="795"/>
      <c r="E6938" s="795"/>
    </row>
    <row r="6939" spans="4:5" hidden="1">
      <c r="D6939" s="795"/>
      <c r="E6939" s="795"/>
    </row>
    <row r="6940" spans="4:5" hidden="1">
      <c r="D6940" s="795"/>
      <c r="E6940" s="795"/>
    </row>
    <row r="6941" spans="4:5" hidden="1">
      <c r="D6941" s="795"/>
      <c r="E6941" s="795"/>
    </row>
    <row r="6942" spans="4:5" hidden="1">
      <c r="D6942" s="795"/>
      <c r="E6942" s="795"/>
    </row>
    <row r="6943" spans="4:5" hidden="1">
      <c r="D6943" s="795"/>
      <c r="E6943" s="795"/>
    </row>
    <row r="6944" spans="4:5" hidden="1">
      <c r="D6944" s="795"/>
      <c r="E6944" s="795"/>
    </row>
    <row r="6945" spans="4:5" hidden="1">
      <c r="D6945" s="795"/>
      <c r="E6945" s="795"/>
    </row>
    <row r="6946" spans="4:5" hidden="1">
      <c r="D6946" s="795"/>
      <c r="E6946" s="795"/>
    </row>
    <row r="6947" spans="4:5" hidden="1">
      <c r="D6947" s="795"/>
      <c r="E6947" s="795"/>
    </row>
    <row r="6948" spans="4:5" hidden="1">
      <c r="D6948" s="795"/>
      <c r="E6948" s="795"/>
    </row>
    <row r="6949" spans="4:5" hidden="1">
      <c r="D6949" s="795"/>
      <c r="E6949" s="795"/>
    </row>
    <row r="6950" spans="4:5" hidden="1">
      <c r="D6950" s="795"/>
      <c r="E6950" s="795"/>
    </row>
    <row r="6951" spans="4:5" hidden="1">
      <c r="D6951" s="795"/>
      <c r="E6951" s="795"/>
    </row>
    <row r="6952" spans="4:5" hidden="1">
      <c r="D6952" s="795"/>
      <c r="E6952" s="795"/>
    </row>
    <row r="6953" spans="4:5" hidden="1">
      <c r="D6953" s="795"/>
      <c r="E6953" s="795"/>
    </row>
    <row r="6954" spans="4:5" hidden="1">
      <c r="D6954" s="795"/>
      <c r="E6954" s="795"/>
    </row>
    <row r="6955" spans="4:5" hidden="1">
      <c r="D6955" s="795"/>
      <c r="E6955" s="795"/>
    </row>
    <row r="6956" spans="4:5" hidden="1">
      <c r="D6956" s="795"/>
      <c r="E6956" s="795"/>
    </row>
    <row r="6957" spans="4:5" hidden="1">
      <c r="D6957" s="795"/>
      <c r="E6957" s="795"/>
    </row>
    <row r="6958" spans="4:5" hidden="1">
      <c r="D6958" s="795"/>
      <c r="E6958" s="795"/>
    </row>
    <row r="6959" spans="4:5" hidden="1">
      <c r="D6959" s="795"/>
      <c r="E6959" s="795"/>
    </row>
    <row r="6960" spans="4:5" hidden="1">
      <c r="D6960" s="795"/>
      <c r="E6960" s="795"/>
    </row>
    <row r="6961" spans="4:5" hidden="1">
      <c r="D6961" s="795"/>
      <c r="E6961" s="795"/>
    </row>
    <row r="6962" spans="4:5" hidden="1">
      <c r="D6962" s="795"/>
      <c r="E6962" s="795"/>
    </row>
    <row r="6963" spans="4:5" hidden="1">
      <c r="D6963" s="795"/>
      <c r="E6963" s="795"/>
    </row>
    <row r="6964" spans="4:5" hidden="1">
      <c r="D6964" s="795"/>
      <c r="E6964" s="795"/>
    </row>
    <row r="6965" spans="4:5" hidden="1">
      <c r="D6965" s="795"/>
      <c r="E6965" s="795"/>
    </row>
    <row r="6966" spans="4:5" hidden="1">
      <c r="D6966" s="795"/>
      <c r="E6966" s="795"/>
    </row>
    <row r="6967" spans="4:5" hidden="1">
      <c r="D6967" s="795"/>
      <c r="E6967" s="795"/>
    </row>
    <row r="6968" spans="4:5" hidden="1">
      <c r="D6968" s="795"/>
      <c r="E6968" s="795"/>
    </row>
    <row r="6969" spans="4:5" hidden="1">
      <c r="D6969" s="795"/>
      <c r="E6969" s="795"/>
    </row>
    <row r="6970" spans="4:5" hidden="1">
      <c r="D6970" s="795"/>
      <c r="E6970" s="795"/>
    </row>
    <row r="6971" spans="4:5" hidden="1">
      <c r="D6971" s="795"/>
      <c r="E6971" s="795"/>
    </row>
    <row r="6972" spans="4:5" hidden="1">
      <c r="D6972" s="795"/>
      <c r="E6972" s="795"/>
    </row>
    <row r="6973" spans="4:5" hidden="1">
      <c r="D6973" s="795"/>
      <c r="E6973" s="795"/>
    </row>
    <row r="6974" spans="4:5" hidden="1">
      <c r="D6974" s="795"/>
      <c r="E6974" s="795"/>
    </row>
    <row r="6975" spans="4:5" hidden="1">
      <c r="D6975" s="795"/>
      <c r="E6975" s="795"/>
    </row>
    <row r="6976" spans="4:5" hidden="1">
      <c r="D6976" s="795"/>
      <c r="E6976" s="795"/>
    </row>
    <row r="6977" spans="4:5" hidden="1">
      <c r="D6977" s="795"/>
      <c r="E6977" s="795"/>
    </row>
    <row r="6978" spans="4:5" hidden="1">
      <c r="D6978" s="795"/>
      <c r="E6978" s="795"/>
    </row>
    <row r="6979" spans="4:5" hidden="1">
      <c r="D6979" s="795"/>
      <c r="E6979" s="795"/>
    </row>
    <row r="6980" spans="4:5" hidden="1">
      <c r="D6980" s="795"/>
      <c r="E6980" s="795"/>
    </row>
    <row r="6981" spans="4:5" hidden="1">
      <c r="D6981" s="795"/>
      <c r="E6981" s="795"/>
    </row>
    <row r="6982" spans="4:5" hidden="1">
      <c r="D6982" s="795"/>
      <c r="E6982" s="795"/>
    </row>
    <row r="6983" spans="4:5" hidden="1">
      <c r="D6983" s="795"/>
      <c r="E6983" s="795"/>
    </row>
    <row r="6984" spans="4:5" hidden="1">
      <c r="D6984" s="795"/>
      <c r="E6984" s="795"/>
    </row>
    <row r="6985" spans="4:5" hidden="1">
      <c r="D6985" s="795"/>
      <c r="E6985" s="795"/>
    </row>
    <row r="6986" spans="4:5" hidden="1">
      <c r="D6986" s="795"/>
      <c r="E6986" s="795"/>
    </row>
    <row r="6987" spans="4:5" hidden="1">
      <c r="D6987" s="795"/>
      <c r="E6987" s="795"/>
    </row>
    <row r="6988" spans="4:5" hidden="1">
      <c r="D6988" s="795"/>
      <c r="E6988" s="795"/>
    </row>
    <row r="6989" spans="4:5" hidden="1">
      <c r="D6989" s="795"/>
      <c r="E6989" s="795"/>
    </row>
    <row r="6990" spans="4:5" hidden="1">
      <c r="D6990" s="795"/>
      <c r="E6990" s="795"/>
    </row>
    <row r="6991" spans="4:5" hidden="1">
      <c r="D6991" s="795"/>
      <c r="E6991" s="795"/>
    </row>
    <row r="6992" spans="4:5" hidden="1">
      <c r="D6992" s="795"/>
      <c r="E6992" s="795"/>
    </row>
    <row r="6993" spans="4:5" hidden="1">
      <c r="D6993" s="795"/>
      <c r="E6993" s="795"/>
    </row>
    <row r="6994" spans="4:5" hidden="1">
      <c r="D6994" s="795"/>
      <c r="E6994" s="795"/>
    </row>
    <row r="6995" spans="4:5" hidden="1">
      <c r="D6995" s="795"/>
      <c r="E6995" s="795"/>
    </row>
    <row r="6996" spans="4:5" hidden="1">
      <c r="D6996" s="795"/>
      <c r="E6996" s="795"/>
    </row>
    <row r="6997" spans="4:5" hidden="1">
      <c r="D6997" s="795"/>
      <c r="E6997" s="795"/>
    </row>
    <row r="6998" spans="4:5" hidden="1">
      <c r="D6998" s="795"/>
      <c r="E6998" s="795"/>
    </row>
    <row r="6999" spans="4:5" hidden="1">
      <c r="D6999" s="795"/>
      <c r="E6999" s="795"/>
    </row>
    <row r="7000" spans="4:5" hidden="1">
      <c r="D7000" s="795"/>
      <c r="E7000" s="795"/>
    </row>
    <row r="7001" spans="4:5" hidden="1">
      <c r="D7001" s="795"/>
      <c r="E7001" s="795"/>
    </row>
    <row r="7002" spans="4:5" hidden="1">
      <c r="D7002" s="795"/>
      <c r="E7002" s="795"/>
    </row>
    <row r="7003" spans="4:5" hidden="1">
      <c r="D7003" s="795"/>
      <c r="E7003" s="795"/>
    </row>
    <row r="7004" spans="4:5" hidden="1">
      <c r="D7004" s="795"/>
      <c r="E7004" s="795"/>
    </row>
    <row r="7005" spans="4:5" hidden="1">
      <c r="D7005" s="795"/>
      <c r="E7005" s="795"/>
    </row>
    <row r="7006" spans="4:5" hidden="1">
      <c r="D7006" s="795"/>
      <c r="E7006" s="795"/>
    </row>
    <row r="7007" spans="4:5" hidden="1">
      <c r="D7007" s="795"/>
      <c r="E7007" s="795"/>
    </row>
    <row r="7008" spans="4:5" hidden="1">
      <c r="D7008" s="795"/>
      <c r="E7008" s="795"/>
    </row>
    <row r="7009" spans="4:5" hidden="1">
      <c r="D7009" s="795"/>
      <c r="E7009" s="795"/>
    </row>
    <row r="7010" spans="4:5" hidden="1">
      <c r="D7010" s="795"/>
      <c r="E7010" s="795"/>
    </row>
    <row r="7011" spans="4:5" hidden="1">
      <c r="D7011" s="795"/>
      <c r="E7011" s="795"/>
    </row>
    <row r="7012" spans="4:5" hidden="1">
      <c r="D7012" s="795"/>
      <c r="E7012" s="795"/>
    </row>
    <row r="7013" spans="4:5" hidden="1">
      <c r="D7013" s="795"/>
      <c r="E7013" s="795"/>
    </row>
    <row r="7014" spans="4:5" hidden="1">
      <c r="D7014" s="795"/>
      <c r="E7014" s="795"/>
    </row>
    <row r="7015" spans="4:5" hidden="1">
      <c r="D7015" s="795"/>
      <c r="E7015" s="795"/>
    </row>
    <row r="7016" spans="4:5" hidden="1">
      <c r="D7016" s="795"/>
      <c r="E7016" s="795"/>
    </row>
    <row r="7017" spans="4:5" hidden="1">
      <c r="D7017" s="795"/>
      <c r="E7017" s="795"/>
    </row>
    <row r="7018" spans="4:5" hidden="1">
      <c r="D7018" s="795"/>
      <c r="E7018" s="795"/>
    </row>
    <row r="7019" spans="4:5" hidden="1">
      <c r="D7019" s="795"/>
      <c r="E7019" s="795"/>
    </row>
    <row r="7020" spans="4:5" hidden="1">
      <c r="D7020" s="795"/>
      <c r="E7020" s="795"/>
    </row>
    <row r="7021" spans="4:5" hidden="1">
      <c r="D7021" s="795"/>
      <c r="E7021" s="795"/>
    </row>
    <row r="7022" spans="4:5" hidden="1">
      <c r="D7022" s="795"/>
      <c r="E7022" s="795"/>
    </row>
    <row r="7023" spans="4:5" hidden="1">
      <c r="D7023" s="795"/>
      <c r="E7023" s="795"/>
    </row>
    <row r="7024" spans="4:5" hidden="1">
      <c r="D7024" s="795"/>
      <c r="E7024" s="795"/>
    </row>
    <row r="7025" spans="4:5" hidden="1">
      <c r="D7025" s="795"/>
      <c r="E7025" s="795"/>
    </row>
    <row r="7026" spans="4:5" hidden="1">
      <c r="D7026" s="795"/>
      <c r="E7026" s="795"/>
    </row>
    <row r="7027" spans="4:5" hidden="1">
      <c r="D7027" s="795"/>
      <c r="E7027" s="795"/>
    </row>
    <row r="7028" spans="4:5" hidden="1">
      <c r="D7028" s="795"/>
      <c r="E7028" s="795"/>
    </row>
    <row r="7029" spans="4:5" hidden="1">
      <c r="D7029" s="795"/>
      <c r="E7029" s="795"/>
    </row>
    <row r="7030" spans="4:5" hidden="1">
      <c r="D7030" s="795"/>
      <c r="E7030" s="795"/>
    </row>
    <row r="7031" spans="4:5" hidden="1">
      <c r="D7031" s="795"/>
      <c r="E7031" s="795"/>
    </row>
    <row r="7032" spans="4:5" hidden="1">
      <c r="D7032" s="795"/>
      <c r="E7032" s="795"/>
    </row>
    <row r="7033" spans="4:5" hidden="1">
      <c r="D7033" s="795"/>
      <c r="E7033" s="795"/>
    </row>
    <row r="7034" spans="4:5" hidden="1">
      <c r="D7034" s="795"/>
      <c r="E7034" s="795"/>
    </row>
    <row r="7035" spans="4:5" hidden="1">
      <c r="D7035" s="795"/>
      <c r="E7035" s="795"/>
    </row>
    <row r="7036" spans="4:5" hidden="1">
      <c r="D7036" s="795"/>
      <c r="E7036" s="795"/>
    </row>
    <row r="7037" spans="4:5" hidden="1">
      <c r="D7037" s="795"/>
      <c r="E7037" s="795"/>
    </row>
    <row r="7038" spans="4:5" hidden="1">
      <c r="D7038" s="795"/>
      <c r="E7038" s="795"/>
    </row>
    <row r="7039" spans="4:5" hidden="1">
      <c r="D7039" s="795"/>
      <c r="E7039" s="795"/>
    </row>
    <row r="7040" spans="4:5" hidden="1">
      <c r="D7040" s="795"/>
      <c r="E7040" s="795"/>
    </row>
    <row r="7041" spans="4:5" hidden="1">
      <c r="D7041" s="795"/>
      <c r="E7041" s="795"/>
    </row>
    <row r="7042" spans="4:5" hidden="1">
      <c r="D7042" s="795"/>
      <c r="E7042" s="795"/>
    </row>
    <row r="7043" spans="4:5" hidden="1">
      <c r="D7043" s="795"/>
      <c r="E7043" s="795"/>
    </row>
    <row r="7044" spans="4:5" hidden="1">
      <c r="D7044" s="795"/>
      <c r="E7044" s="795"/>
    </row>
    <row r="7045" spans="4:5" hidden="1">
      <c r="D7045" s="795"/>
      <c r="E7045" s="795"/>
    </row>
    <row r="7046" spans="4:5" hidden="1">
      <c r="D7046" s="795"/>
      <c r="E7046" s="795"/>
    </row>
    <row r="7047" spans="4:5" hidden="1">
      <c r="D7047" s="795"/>
      <c r="E7047" s="795"/>
    </row>
    <row r="7048" spans="4:5" hidden="1">
      <c r="D7048" s="795"/>
      <c r="E7048" s="795"/>
    </row>
    <row r="7049" spans="4:5" hidden="1">
      <c r="D7049" s="795"/>
      <c r="E7049" s="795"/>
    </row>
    <row r="7050" spans="4:5" hidden="1">
      <c r="D7050" s="795"/>
      <c r="E7050" s="795"/>
    </row>
    <row r="7051" spans="4:5" hidden="1">
      <c r="D7051" s="795"/>
      <c r="E7051" s="795"/>
    </row>
    <row r="7052" spans="4:5" hidden="1">
      <c r="D7052" s="795"/>
      <c r="E7052" s="795"/>
    </row>
    <row r="7053" spans="4:5" hidden="1">
      <c r="D7053" s="795"/>
      <c r="E7053" s="795"/>
    </row>
    <row r="7054" spans="4:5" hidden="1">
      <c r="D7054" s="795"/>
      <c r="E7054" s="795"/>
    </row>
    <row r="7055" spans="4:5" hidden="1">
      <c r="D7055" s="795"/>
      <c r="E7055" s="795"/>
    </row>
    <row r="7056" spans="4:5" hidden="1">
      <c r="D7056" s="795"/>
      <c r="E7056" s="795"/>
    </row>
    <row r="7057" spans="4:5" hidden="1">
      <c r="D7057" s="795"/>
      <c r="E7057" s="795"/>
    </row>
    <row r="7058" spans="4:5" hidden="1">
      <c r="D7058" s="795"/>
      <c r="E7058" s="795"/>
    </row>
    <row r="7059" spans="4:5" hidden="1">
      <c r="D7059" s="795"/>
      <c r="E7059" s="795"/>
    </row>
    <row r="7060" spans="4:5" hidden="1">
      <c r="D7060" s="795"/>
      <c r="E7060" s="795"/>
    </row>
    <row r="7061" spans="4:5" hidden="1">
      <c r="D7061" s="795"/>
      <c r="E7061" s="795"/>
    </row>
    <row r="7062" spans="4:5" hidden="1">
      <c r="D7062" s="795"/>
      <c r="E7062" s="795"/>
    </row>
    <row r="7063" spans="4:5" hidden="1">
      <c r="D7063" s="795"/>
      <c r="E7063" s="795"/>
    </row>
    <row r="7064" spans="4:5" hidden="1">
      <c r="D7064" s="795"/>
      <c r="E7064" s="795"/>
    </row>
    <row r="7065" spans="4:5" hidden="1">
      <c r="D7065" s="795"/>
      <c r="E7065" s="795"/>
    </row>
    <row r="7066" spans="4:5" hidden="1">
      <c r="D7066" s="795"/>
      <c r="E7066" s="795"/>
    </row>
    <row r="7067" spans="4:5" hidden="1">
      <c r="D7067" s="795"/>
      <c r="E7067" s="795"/>
    </row>
    <row r="7068" spans="4:5" hidden="1">
      <c r="D7068" s="795"/>
      <c r="E7068" s="795"/>
    </row>
    <row r="7069" spans="4:5" hidden="1">
      <c r="D7069" s="795"/>
      <c r="E7069" s="795"/>
    </row>
    <row r="7070" spans="4:5" hidden="1">
      <c r="D7070" s="795"/>
      <c r="E7070" s="795"/>
    </row>
    <row r="7071" spans="4:5" hidden="1">
      <c r="D7071" s="795"/>
      <c r="E7071" s="795"/>
    </row>
    <row r="7072" spans="4:5" hidden="1">
      <c r="D7072" s="795"/>
      <c r="E7072" s="795"/>
    </row>
    <row r="7073" spans="4:5" hidden="1">
      <c r="D7073" s="795"/>
      <c r="E7073" s="795"/>
    </row>
    <row r="7074" spans="4:5" hidden="1">
      <c r="D7074" s="795"/>
      <c r="E7074" s="795"/>
    </row>
    <row r="7075" spans="4:5" hidden="1">
      <c r="D7075" s="795"/>
      <c r="E7075" s="795"/>
    </row>
    <row r="7076" spans="4:5" hidden="1">
      <c r="D7076" s="795"/>
      <c r="E7076" s="795"/>
    </row>
    <row r="7077" spans="4:5" hidden="1">
      <c r="D7077" s="795"/>
      <c r="E7077" s="795"/>
    </row>
    <row r="7078" spans="4:5" hidden="1">
      <c r="D7078" s="795"/>
      <c r="E7078" s="795"/>
    </row>
    <row r="7079" spans="4:5" hidden="1">
      <c r="D7079" s="795"/>
      <c r="E7079" s="795"/>
    </row>
    <row r="7080" spans="4:5" hidden="1">
      <c r="D7080" s="795"/>
      <c r="E7080" s="795"/>
    </row>
    <row r="7081" spans="4:5" hidden="1">
      <c r="D7081" s="795"/>
      <c r="E7081" s="795"/>
    </row>
    <row r="7082" spans="4:5" hidden="1">
      <c r="D7082" s="795"/>
      <c r="E7082" s="795"/>
    </row>
    <row r="7083" spans="4:5" hidden="1">
      <c r="D7083" s="795"/>
      <c r="E7083" s="795"/>
    </row>
    <row r="7084" spans="4:5" hidden="1">
      <c r="D7084" s="795"/>
      <c r="E7084" s="795"/>
    </row>
    <row r="7085" spans="4:5" hidden="1">
      <c r="D7085" s="795"/>
      <c r="E7085" s="795"/>
    </row>
    <row r="7086" spans="4:5" hidden="1">
      <c r="D7086" s="795"/>
      <c r="E7086" s="795"/>
    </row>
    <row r="7087" spans="4:5" hidden="1">
      <c r="D7087" s="795"/>
      <c r="E7087" s="795"/>
    </row>
    <row r="7088" spans="4:5" hidden="1">
      <c r="D7088" s="795"/>
      <c r="E7088" s="795"/>
    </row>
    <row r="7089" spans="4:5" hidden="1">
      <c r="D7089" s="795"/>
      <c r="E7089" s="795"/>
    </row>
    <row r="7090" spans="4:5" hidden="1">
      <c r="D7090" s="795"/>
      <c r="E7090" s="795"/>
    </row>
    <row r="7091" spans="4:5" hidden="1">
      <c r="D7091" s="795"/>
      <c r="E7091" s="795"/>
    </row>
    <row r="7092" spans="4:5" hidden="1">
      <c r="D7092" s="795"/>
      <c r="E7092" s="795"/>
    </row>
    <row r="7093" spans="4:5" hidden="1">
      <c r="D7093" s="795"/>
      <c r="E7093" s="795"/>
    </row>
    <row r="7094" spans="4:5" hidden="1">
      <c r="D7094" s="795"/>
      <c r="E7094" s="795"/>
    </row>
    <row r="7095" spans="4:5" hidden="1">
      <c r="D7095" s="795"/>
      <c r="E7095" s="795"/>
    </row>
    <row r="7096" spans="4:5" hidden="1">
      <c r="D7096" s="795"/>
      <c r="E7096" s="795"/>
    </row>
    <row r="7097" spans="4:5" hidden="1">
      <c r="D7097" s="795"/>
      <c r="E7097" s="795"/>
    </row>
    <row r="7098" spans="4:5" hidden="1">
      <c r="D7098" s="795"/>
      <c r="E7098" s="795"/>
    </row>
    <row r="7099" spans="4:5" hidden="1">
      <c r="D7099" s="795"/>
      <c r="E7099" s="795"/>
    </row>
    <row r="7100" spans="4:5" hidden="1">
      <c r="D7100" s="795"/>
      <c r="E7100" s="795"/>
    </row>
    <row r="7101" spans="4:5" hidden="1">
      <c r="D7101" s="795"/>
      <c r="E7101" s="795"/>
    </row>
    <row r="7102" spans="4:5" hidden="1">
      <c r="D7102" s="795"/>
      <c r="E7102" s="795"/>
    </row>
    <row r="7103" spans="4:5" hidden="1">
      <c r="D7103" s="795"/>
      <c r="E7103" s="795"/>
    </row>
    <row r="7104" spans="4:5" hidden="1">
      <c r="D7104" s="795"/>
      <c r="E7104" s="795"/>
    </row>
    <row r="7105" spans="4:5" hidden="1">
      <c r="D7105" s="795"/>
      <c r="E7105" s="795"/>
    </row>
    <row r="7106" spans="4:5" hidden="1">
      <c r="D7106" s="795"/>
      <c r="E7106" s="795"/>
    </row>
    <row r="7107" spans="4:5" hidden="1">
      <c r="D7107" s="795"/>
      <c r="E7107" s="795"/>
    </row>
    <row r="7108" spans="4:5" hidden="1">
      <c r="D7108" s="795"/>
      <c r="E7108" s="795"/>
    </row>
    <row r="7109" spans="4:5" hidden="1">
      <c r="D7109" s="795"/>
      <c r="E7109" s="795"/>
    </row>
    <row r="7110" spans="4:5" hidden="1">
      <c r="D7110" s="795"/>
      <c r="E7110" s="795"/>
    </row>
    <row r="7111" spans="4:5" hidden="1">
      <c r="D7111" s="795"/>
      <c r="E7111" s="795"/>
    </row>
    <row r="7112" spans="4:5" hidden="1">
      <c r="D7112" s="795"/>
      <c r="E7112" s="795"/>
    </row>
    <row r="7113" spans="4:5" hidden="1">
      <c r="D7113" s="795"/>
      <c r="E7113" s="795"/>
    </row>
    <row r="7114" spans="4:5" hidden="1">
      <c r="D7114" s="795"/>
      <c r="E7114" s="795"/>
    </row>
    <row r="7115" spans="4:5" hidden="1">
      <c r="D7115" s="795"/>
      <c r="E7115" s="795"/>
    </row>
    <row r="7116" spans="4:5" hidden="1">
      <c r="D7116" s="795"/>
      <c r="E7116" s="795"/>
    </row>
    <row r="7117" spans="4:5" hidden="1">
      <c r="D7117" s="795"/>
      <c r="E7117" s="795"/>
    </row>
    <row r="7118" spans="4:5" hidden="1">
      <c r="D7118" s="795"/>
      <c r="E7118" s="795"/>
    </row>
    <row r="7119" spans="4:5" hidden="1">
      <c r="D7119" s="795"/>
      <c r="E7119" s="795"/>
    </row>
    <row r="7120" spans="4:5" hidden="1">
      <c r="D7120" s="795"/>
      <c r="E7120" s="795"/>
    </row>
    <row r="7121" spans="4:5" hidden="1">
      <c r="D7121" s="795"/>
      <c r="E7121" s="795"/>
    </row>
    <row r="7122" spans="4:5" hidden="1">
      <c r="D7122" s="795"/>
      <c r="E7122" s="795"/>
    </row>
    <row r="7123" spans="4:5" hidden="1">
      <c r="D7123" s="795"/>
      <c r="E7123" s="795"/>
    </row>
    <row r="7124" spans="4:5" hidden="1">
      <c r="D7124" s="795"/>
      <c r="E7124" s="795"/>
    </row>
    <row r="7125" spans="4:5" hidden="1">
      <c r="D7125" s="795"/>
      <c r="E7125" s="795"/>
    </row>
    <row r="7126" spans="4:5" hidden="1">
      <c r="D7126" s="795"/>
      <c r="E7126" s="795"/>
    </row>
    <row r="7127" spans="4:5" hidden="1">
      <c r="D7127" s="795"/>
      <c r="E7127" s="795"/>
    </row>
    <row r="7128" spans="4:5" hidden="1">
      <c r="D7128" s="795"/>
      <c r="E7128" s="795"/>
    </row>
    <row r="7129" spans="4:5" hidden="1">
      <c r="D7129" s="795"/>
      <c r="E7129" s="795"/>
    </row>
    <row r="7130" spans="4:5" hidden="1">
      <c r="D7130" s="795"/>
      <c r="E7130" s="795"/>
    </row>
    <row r="7131" spans="4:5" hidden="1">
      <c r="D7131" s="795"/>
      <c r="E7131" s="795"/>
    </row>
    <row r="7132" spans="4:5" hidden="1">
      <c r="D7132" s="795"/>
      <c r="E7132" s="795"/>
    </row>
    <row r="7133" spans="4:5" hidden="1">
      <c r="D7133" s="795"/>
      <c r="E7133" s="795"/>
    </row>
    <row r="7134" spans="4:5" hidden="1">
      <c r="D7134" s="795"/>
      <c r="E7134" s="795"/>
    </row>
    <row r="7135" spans="4:5" hidden="1">
      <c r="D7135" s="795"/>
      <c r="E7135" s="795"/>
    </row>
    <row r="7136" spans="4:5" hidden="1">
      <c r="D7136" s="795"/>
      <c r="E7136" s="795"/>
    </row>
    <row r="7137" spans="4:5" hidden="1">
      <c r="D7137" s="795"/>
      <c r="E7137" s="795"/>
    </row>
    <row r="7138" spans="4:5" hidden="1">
      <c r="D7138" s="795"/>
      <c r="E7138" s="795"/>
    </row>
    <row r="7139" spans="4:5" hidden="1">
      <c r="D7139" s="795"/>
      <c r="E7139" s="795"/>
    </row>
    <row r="7140" spans="4:5" hidden="1">
      <c r="D7140" s="795"/>
      <c r="E7140" s="795"/>
    </row>
    <row r="7141" spans="4:5" hidden="1">
      <c r="D7141" s="795"/>
      <c r="E7141" s="795"/>
    </row>
    <row r="7142" spans="4:5" hidden="1">
      <c r="D7142" s="795"/>
      <c r="E7142" s="795"/>
    </row>
    <row r="7143" spans="4:5" hidden="1">
      <c r="D7143" s="795"/>
      <c r="E7143" s="795"/>
    </row>
    <row r="7144" spans="4:5" hidden="1">
      <c r="D7144" s="795"/>
      <c r="E7144" s="795"/>
    </row>
    <row r="7145" spans="4:5" hidden="1">
      <c r="D7145" s="795"/>
      <c r="E7145" s="795"/>
    </row>
    <row r="7146" spans="4:5" hidden="1">
      <c r="D7146" s="795"/>
      <c r="E7146" s="795"/>
    </row>
    <row r="7147" spans="4:5" hidden="1">
      <c r="D7147" s="795"/>
      <c r="E7147" s="795"/>
    </row>
    <row r="7148" spans="4:5" hidden="1">
      <c r="D7148" s="795"/>
      <c r="E7148" s="795"/>
    </row>
    <row r="7149" spans="4:5" hidden="1">
      <c r="D7149" s="795"/>
      <c r="E7149" s="795"/>
    </row>
    <row r="7150" spans="4:5" hidden="1">
      <c r="D7150" s="795"/>
      <c r="E7150" s="795"/>
    </row>
    <row r="7151" spans="4:5" hidden="1">
      <c r="D7151" s="795"/>
      <c r="E7151" s="795"/>
    </row>
    <row r="7152" spans="4:5" hidden="1">
      <c r="D7152" s="795"/>
      <c r="E7152" s="795"/>
    </row>
    <row r="7153" spans="4:5" hidden="1">
      <c r="D7153" s="795"/>
      <c r="E7153" s="795"/>
    </row>
    <row r="7154" spans="4:5" hidden="1">
      <c r="D7154" s="795"/>
      <c r="E7154" s="795"/>
    </row>
    <row r="7155" spans="4:5" hidden="1">
      <c r="D7155" s="795"/>
      <c r="E7155" s="795"/>
    </row>
    <row r="7156" spans="4:5" hidden="1">
      <c r="D7156" s="795"/>
      <c r="E7156" s="795"/>
    </row>
    <row r="7157" spans="4:5" hidden="1">
      <c r="D7157" s="795"/>
      <c r="E7157" s="795"/>
    </row>
    <row r="7158" spans="4:5" hidden="1">
      <c r="D7158" s="795"/>
      <c r="E7158" s="795"/>
    </row>
    <row r="7159" spans="4:5" hidden="1">
      <c r="D7159" s="795"/>
      <c r="E7159" s="795"/>
    </row>
    <row r="7160" spans="4:5" hidden="1">
      <c r="D7160" s="795"/>
      <c r="E7160" s="795"/>
    </row>
    <row r="7161" spans="4:5" hidden="1">
      <c r="D7161" s="795"/>
      <c r="E7161" s="795"/>
    </row>
    <row r="7162" spans="4:5" hidden="1">
      <c r="D7162" s="795"/>
      <c r="E7162" s="795"/>
    </row>
    <row r="7163" spans="4:5" hidden="1">
      <c r="D7163" s="795"/>
      <c r="E7163" s="795"/>
    </row>
    <row r="7164" spans="4:5" hidden="1">
      <c r="D7164" s="795"/>
      <c r="E7164" s="795"/>
    </row>
    <row r="7165" spans="4:5" hidden="1">
      <c r="D7165" s="795"/>
      <c r="E7165" s="795"/>
    </row>
    <row r="7166" spans="4:5" hidden="1">
      <c r="D7166" s="795"/>
      <c r="E7166" s="795"/>
    </row>
    <row r="7167" spans="4:5" hidden="1">
      <c r="D7167" s="795"/>
      <c r="E7167" s="795"/>
    </row>
    <row r="7168" spans="4:5" hidden="1">
      <c r="D7168" s="795"/>
      <c r="E7168" s="795"/>
    </row>
    <row r="7169" spans="4:5" hidden="1">
      <c r="D7169" s="795"/>
      <c r="E7169" s="795"/>
    </row>
    <row r="7170" spans="4:5" hidden="1">
      <c r="D7170" s="795"/>
      <c r="E7170" s="795"/>
    </row>
    <row r="7171" spans="4:5" hidden="1">
      <c r="D7171" s="795"/>
      <c r="E7171" s="795"/>
    </row>
    <row r="7172" spans="4:5" hidden="1">
      <c r="D7172" s="795"/>
      <c r="E7172" s="795"/>
    </row>
    <row r="7173" spans="4:5" hidden="1">
      <c r="D7173" s="795"/>
      <c r="E7173" s="795"/>
    </row>
    <row r="7174" spans="4:5" hidden="1">
      <c r="D7174" s="795"/>
      <c r="E7174" s="795"/>
    </row>
    <row r="7175" spans="4:5" hidden="1">
      <c r="D7175" s="795"/>
      <c r="E7175" s="795"/>
    </row>
    <row r="7176" spans="4:5" hidden="1">
      <c r="D7176" s="795"/>
      <c r="E7176" s="795"/>
    </row>
    <row r="7177" spans="4:5" hidden="1">
      <c r="D7177" s="795"/>
      <c r="E7177" s="795"/>
    </row>
    <row r="7178" spans="4:5" hidden="1">
      <c r="D7178" s="795"/>
      <c r="E7178" s="795"/>
    </row>
    <row r="7179" spans="4:5" hidden="1">
      <c r="D7179" s="795"/>
      <c r="E7179" s="795"/>
    </row>
    <row r="7180" spans="4:5" hidden="1">
      <c r="D7180" s="795"/>
      <c r="E7180" s="795"/>
    </row>
    <row r="7181" spans="4:5" hidden="1">
      <c r="D7181" s="795"/>
      <c r="E7181" s="795"/>
    </row>
    <row r="7182" spans="4:5" hidden="1">
      <c r="D7182" s="795"/>
      <c r="E7182" s="795"/>
    </row>
    <row r="7183" spans="4:5" hidden="1">
      <c r="D7183" s="795"/>
      <c r="E7183" s="795"/>
    </row>
    <row r="7184" spans="4:5" hidden="1">
      <c r="D7184" s="795"/>
      <c r="E7184" s="795"/>
    </row>
    <row r="7185" spans="4:5" hidden="1">
      <c r="D7185" s="795"/>
      <c r="E7185" s="795"/>
    </row>
    <row r="7186" spans="4:5" hidden="1">
      <c r="D7186" s="795"/>
      <c r="E7186" s="795"/>
    </row>
    <row r="7187" spans="4:5" hidden="1">
      <c r="D7187" s="795"/>
      <c r="E7187" s="795"/>
    </row>
    <row r="7188" spans="4:5" hidden="1">
      <c r="D7188" s="795"/>
      <c r="E7188" s="795"/>
    </row>
    <row r="7189" spans="4:5" hidden="1">
      <c r="D7189" s="795"/>
      <c r="E7189" s="795"/>
    </row>
    <row r="7190" spans="4:5" hidden="1">
      <c r="D7190" s="795"/>
      <c r="E7190" s="795"/>
    </row>
    <row r="7191" spans="4:5" hidden="1">
      <c r="D7191" s="795"/>
      <c r="E7191" s="795"/>
    </row>
    <row r="7192" spans="4:5" hidden="1">
      <c r="D7192" s="795"/>
      <c r="E7192" s="795"/>
    </row>
    <row r="7193" spans="4:5" hidden="1">
      <c r="D7193" s="795"/>
      <c r="E7193" s="795"/>
    </row>
    <row r="7194" spans="4:5" hidden="1">
      <c r="D7194" s="795"/>
      <c r="E7194" s="795"/>
    </row>
    <row r="7195" spans="4:5" hidden="1">
      <c r="D7195" s="795"/>
      <c r="E7195" s="795"/>
    </row>
    <row r="7196" spans="4:5" hidden="1">
      <c r="D7196" s="795"/>
      <c r="E7196" s="795"/>
    </row>
    <row r="7197" spans="4:5" hidden="1">
      <c r="D7197" s="795"/>
      <c r="E7197" s="795"/>
    </row>
    <row r="7198" spans="4:5" hidden="1">
      <c r="D7198" s="795"/>
      <c r="E7198" s="795"/>
    </row>
    <row r="7199" spans="4:5" hidden="1">
      <c r="D7199" s="795"/>
      <c r="E7199" s="795"/>
    </row>
    <row r="7200" spans="4:5" hidden="1">
      <c r="D7200" s="795"/>
      <c r="E7200" s="795"/>
    </row>
    <row r="7201" spans="4:5" hidden="1">
      <c r="D7201" s="795"/>
      <c r="E7201" s="795"/>
    </row>
    <row r="7202" spans="4:5" hidden="1">
      <c r="D7202" s="795"/>
      <c r="E7202" s="795"/>
    </row>
    <row r="7203" spans="4:5" hidden="1">
      <c r="D7203" s="795"/>
      <c r="E7203" s="795"/>
    </row>
    <row r="7204" spans="4:5" hidden="1">
      <c r="D7204" s="795"/>
      <c r="E7204" s="795"/>
    </row>
    <row r="7205" spans="4:5" hidden="1">
      <c r="D7205" s="795"/>
      <c r="E7205" s="795"/>
    </row>
    <row r="7206" spans="4:5" hidden="1">
      <c r="D7206" s="795"/>
      <c r="E7206" s="795"/>
    </row>
    <row r="7207" spans="4:5" hidden="1">
      <c r="D7207" s="795"/>
      <c r="E7207" s="795"/>
    </row>
    <row r="7208" spans="4:5" hidden="1">
      <c r="D7208" s="795"/>
      <c r="E7208" s="795"/>
    </row>
    <row r="7209" spans="4:5" hidden="1">
      <c r="D7209" s="795"/>
      <c r="E7209" s="795"/>
    </row>
    <row r="7210" spans="4:5" hidden="1">
      <c r="D7210" s="795"/>
      <c r="E7210" s="795"/>
    </row>
    <row r="7211" spans="4:5" hidden="1">
      <c r="D7211" s="795"/>
      <c r="E7211" s="795"/>
    </row>
    <row r="7212" spans="4:5" hidden="1">
      <c r="D7212" s="795"/>
      <c r="E7212" s="795"/>
    </row>
    <row r="7213" spans="4:5" hidden="1">
      <c r="D7213" s="795"/>
      <c r="E7213" s="795"/>
    </row>
    <row r="7214" spans="4:5" hidden="1">
      <c r="D7214" s="795"/>
      <c r="E7214" s="795"/>
    </row>
    <row r="7215" spans="4:5" hidden="1">
      <c r="D7215" s="795"/>
      <c r="E7215" s="795"/>
    </row>
    <row r="7216" spans="4:5" hidden="1">
      <c r="D7216" s="795"/>
      <c r="E7216" s="795"/>
    </row>
    <row r="7217" spans="4:5" hidden="1">
      <c r="D7217" s="795"/>
      <c r="E7217" s="795"/>
    </row>
    <row r="7218" spans="4:5" hidden="1">
      <c r="D7218" s="795"/>
      <c r="E7218" s="795"/>
    </row>
    <row r="7219" spans="4:5" hidden="1">
      <c r="D7219" s="795"/>
      <c r="E7219" s="795"/>
    </row>
    <row r="7220" spans="4:5" hidden="1">
      <c r="D7220" s="795"/>
      <c r="E7220" s="795"/>
    </row>
    <row r="7221" spans="4:5" hidden="1">
      <c r="D7221" s="795"/>
      <c r="E7221" s="795"/>
    </row>
    <row r="7222" spans="4:5" hidden="1">
      <c r="D7222" s="795"/>
      <c r="E7222" s="795"/>
    </row>
    <row r="7223" spans="4:5" hidden="1">
      <c r="D7223" s="795"/>
      <c r="E7223" s="795"/>
    </row>
    <row r="7224" spans="4:5" hidden="1">
      <c r="D7224" s="795"/>
      <c r="E7224" s="795"/>
    </row>
    <row r="7225" spans="4:5" hidden="1">
      <c r="D7225" s="795"/>
      <c r="E7225" s="795"/>
    </row>
    <row r="7226" spans="4:5" hidden="1">
      <c r="D7226" s="795"/>
      <c r="E7226" s="795"/>
    </row>
    <row r="7227" spans="4:5" hidden="1">
      <c r="D7227" s="795"/>
      <c r="E7227" s="795"/>
    </row>
    <row r="7228" spans="4:5" hidden="1">
      <c r="D7228" s="795"/>
      <c r="E7228" s="795"/>
    </row>
    <row r="7229" spans="4:5" hidden="1">
      <c r="D7229" s="795"/>
      <c r="E7229" s="795"/>
    </row>
    <row r="7230" spans="4:5" hidden="1">
      <c r="D7230" s="795"/>
      <c r="E7230" s="795"/>
    </row>
    <row r="7231" spans="4:5" hidden="1">
      <c r="D7231" s="795"/>
      <c r="E7231" s="795"/>
    </row>
    <row r="7232" spans="4:5" hidden="1">
      <c r="D7232" s="795"/>
      <c r="E7232" s="795"/>
    </row>
    <row r="7233" spans="4:5" hidden="1">
      <c r="D7233" s="795"/>
      <c r="E7233" s="795"/>
    </row>
    <row r="7234" spans="4:5" hidden="1">
      <c r="D7234" s="795"/>
      <c r="E7234" s="795"/>
    </row>
    <row r="7235" spans="4:5" hidden="1">
      <c r="D7235" s="795"/>
      <c r="E7235" s="795"/>
    </row>
    <row r="7236" spans="4:5" hidden="1">
      <c r="D7236" s="795"/>
      <c r="E7236" s="795"/>
    </row>
    <row r="7237" spans="4:5" hidden="1">
      <c r="D7237" s="795"/>
      <c r="E7237" s="795"/>
    </row>
    <row r="7238" spans="4:5" hidden="1">
      <c r="D7238" s="795"/>
      <c r="E7238" s="795"/>
    </row>
    <row r="7239" spans="4:5" hidden="1">
      <c r="D7239" s="795"/>
      <c r="E7239" s="795"/>
    </row>
    <row r="7240" spans="4:5" hidden="1">
      <c r="D7240" s="795"/>
      <c r="E7240" s="795"/>
    </row>
    <row r="7241" spans="4:5" hidden="1">
      <c r="D7241" s="795"/>
      <c r="E7241" s="795"/>
    </row>
    <row r="7242" spans="4:5" hidden="1">
      <c r="D7242" s="795"/>
      <c r="E7242" s="795"/>
    </row>
    <row r="7243" spans="4:5" hidden="1">
      <c r="D7243" s="795"/>
      <c r="E7243" s="795"/>
    </row>
    <row r="7244" spans="4:5" hidden="1">
      <c r="D7244" s="795"/>
      <c r="E7244" s="795"/>
    </row>
    <row r="7245" spans="4:5" hidden="1">
      <c r="D7245" s="795"/>
      <c r="E7245" s="795"/>
    </row>
    <row r="7246" spans="4:5" hidden="1">
      <c r="D7246" s="795"/>
      <c r="E7246" s="795"/>
    </row>
    <row r="7247" spans="4:5" hidden="1">
      <c r="D7247" s="795"/>
      <c r="E7247" s="795"/>
    </row>
    <row r="7248" spans="4:5" hidden="1">
      <c r="D7248" s="795"/>
      <c r="E7248" s="795"/>
    </row>
    <row r="7249" spans="4:5" hidden="1">
      <c r="D7249" s="795"/>
      <c r="E7249" s="795"/>
    </row>
    <row r="7250" spans="4:5" hidden="1">
      <c r="D7250" s="795"/>
      <c r="E7250" s="795"/>
    </row>
    <row r="7251" spans="4:5" hidden="1">
      <c r="D7251" s="795"/>
      <c r="E7251" s="795"/>
    </row>
    <row r="7252" spans="4:5" hidden="1">
      <c r="D7252" s="795"/>
      <c r="E7252" s="795"/>
    </row>
    <row r="7253" spans="4:5" hidden="1">
      <c r="D7253" s="795"/>
      <c r="E7253" s="795"/>
    </row>
    <row r="7254" spans="4:5" hidden="1">
      <c r="D7254" s="795"/>
      <c r="E7254" s="795"/>
    </row>
    <row r="7255" spans="4:5" hidden="1">
      <c r="D7255" s="795"/>
      <c r="E7255" s="795"/>
    </row>
    <row r="7256" spans="4:5" hidden="1">
      <c r="D7256" s="795"/>
      <c r="E7256" s="795"/>
    </row>
    <row r="7257" spans="4:5" hidden="1">
      <c r="D7257" s="795"/>
      <c r="E7257" s="795"/>
    </row>
    <row r="7258" spans="4:5" hidden="1">
      <c r="D7258" s="795"/>
      <c r="E7258" s="795"/>
    </row>
    <row r="7259" spans="4:5" hidden="1">
      <c r="D7259" s="795"/>
      <c r="E7259" s="795"/>
    </row>
    <row r="7260" spans="4:5" hidden="1">
      <c r="D7260" s="795"/>
      <c r="E7260" s="795"/>
    </row>
    <row r="7261" spans="4:5" hidden="1">
      <c r="D7261" s="795"/>
      <c r="E7261" s="795"/>
    </row>
    <row r="7262" spans="4:5" hidden="1">
      <c r="D7262" s="795"/>
      <c r="E7262" s="795"/>
    </row>
    <row r="7263" spans="4:5" hidden="1">
      <c r="D7263" s="795"/>
      <c r="E7263" s="795"/>
    </row>
    <row r="7264" spans="4:5" hidden="1">
      <c r="D7264" s="795"/>
      <c r="E7264" s="795"/>
    </row>
    <row r="7265" spans="4:5" hidden="1">
      <c r="D7265" s="795"/>
      <c r="E7265" s="795"/>
    </row>
    <row r="7266" spans="4:5" hidden="1">
      <c r="D7266" s="795"/>
      <c r="E7266" s="795"/>
    </row>
    <row r="7267" spans="4:5" hidden="1">
      <c r="D7267" s="795"/>
      <c r="E7267" s="795"/>
    </row>
    <row r="7268" spans="4:5" hidden="1">
      <c r="D7268" s="795"/>
      <c r="E7268" s="795"/>
    </row>
    <row r="7269" spans="4:5" hidden="1">
      <c r="D7269" s="795"/>
      <c r="E7269" s="795"/>
    </row>
    <row r="7270" spans="4:5" hidden="1">
      <c r="D7270" s="795"/>
      <c r="E7270" s="795"/>
    </row>
    <row r="7271" spans="4:5" hidden="1">
      <c r="D7271" s="795"/>
      <c r="E7271" s="795"/>
    </row>
    <row r="7272" spans="4:5" hidden="1">
      <c r="D7272" s="795"/>
      <c r="E7272" s="795"/>
    </row>
    <row r="7273" spans="4:5" hidden="1">
      <c r="D7273" s="795"/>
      <c r="E7273" s="795"/>
    </row>
    <row r="7274" spans="4:5" hidden="1">
      <c r="D7274" s="795"/>
      <c r="E7274" s="795"/>
    </row>
    <row r="7275" spans="4:5" hidden="1">
      <c r="D7275" s="795"/>
      <c r="E7275" s="795"/>
    </row>
    <row r="7276" spans="4:5" hidden="1">
      <c r="D7276" s="795"/>
      <c r="E7276" s="795"/>
    </row>
    <row r="7277" spans="4:5" hidden="1">
      <c r="D7277" s="795"/>
      <c r="E7277" s="795"/>
    </row>
    <row r="7278" spans="4:5" hidden="1">
      <c r="D7278" s="795"/>
      <c r="E7278" s="795"/>
    </row>
    <row r="7279" spans="4:5" hidden="1">
      <c r="D7279" s="795"/>
      <c r="E7279" s="795"/>
    </row>
    <row r="7280" spans="4:5" hidden="1">
      <c r="D7280" s="795"/>
      <c r="E7280" s="795"/>
    </row>
    <row r="7281" spans="4:5" hidden="1">
      <c r="D7281" s="795"/>
      <c r="E7281" s="795"/>
    </row>
    <row r="7282" spans="4:5" hidden="1">
      <c r="D7282" s="795"/>
      <c r="E7282" s="795"/>
    </row>
    <row r="7283" spans="4:5" hidden="1">
      <c r="D7283" s="795"/>
      <c r="E7283" s="795"/>
    </row>
    <row r="7284" spans="4:5" hidden="1">
      <c r="D7284" s="795"/>
      <c r="E7284" s="795"/>
    </row>
    <row r="7285" spans="4:5" hidden="1">
      <c r="D7285" s="795"/>
      <c r="E7285" s="795"/>
    </row>
    <row r="7286" spans="4:5" hidden="1">
      <c r="D7286" s="795"/>
      <c r="E7286" s="795"/>
    </row>
    <row r="7287" spans="4:5" hidden="1">
      <c r="D7287" s="795"/>
      <c r="E7287" s="795"/>
    </row>
    <row r="7288" spans="4:5" hidden="1">
      <c r="D7288" s="795"/>
      <c r="E7288" s="795"/>
    </row>
    <row r="7289" spans="4:5" hidden="1">
      <c r="D7289" s="795"/>
      <c r="E7289" s="795"/>
    </row>
    <row r="7290" spans="4:5" hidden="1">
      <c r="D7290" s="795"/>
      <c r="E7290" s="795"/>
    </row>
    <row r="7291" spans="4:5" hidden="1">
      <c r="D7291" s="795"/>
      <c r="E7291" s="795"/>
    </row>
    <row r="7292" spans="4:5" hidden="1">
      <c r="D7292" s="795"/>
      <c r="E7292" s="795"/>
    </row>
    <row r="7293" spans="4:5" hidden="1">
      <c r="D7293" s="795"/>
      <c r="E7293" s="795"/>
    </row>
    <row r="7294" spans="4:5" hidden="1">
      <c r="D7294" s="795"/>
      <c r="E7294" s="795"/>
    </row>
    <row r="7295" spans="4:5" hidden="1">
      <c r="D7295" s="795"/>
      <c r="E7295" s="795"/>
    </row>
    <row r="7296" spans="4:5" hidden="1">
      <c r="D7296" s="795"/>
      <c r="E7296" s="795"/>
    </row>
    <row r="7297" spans="4:5" hidden="1">
      <c r="D7297" s="795"/>
      <c r="E7297" s="795"/>
    </row>
    <row r="7298" spans="4:5" hidden="1">
      <c r="D7298" s="795"/>
      <c r="E7298" s="795"/>
    </row>
    <row r="7299" spans="4:5" hidden="1">
      <c r="D7299" s="795"/>
      <c r="E7299" s="795"/>
    </row>
    <row r="7300" spans="4:5" hidden="1">
      <c r="D7300" s="795"/>
      <c r="E7300" s="795"/>
    </row>
    <row r="7301" spans="4:5" hidden="1">
      <c r="D7301" s="795"/>
      <c r="E7301" s="795"/>
    </row>
    <row r="7302" spans="4:5" hidden="1">
      <c r="D7302" s="795"/>
      <c r="E7302" s="795"/>
    </row>
    <row r="7303" spans="4:5" hidden="1">
      <c r="D7303" s="795"/>
      <c r="E7303" s="795"/>
    </row>
    <row r="7304" spans="4:5" hidden="1">
      <c r="D7304" s="795"/>
      <c r="E7304" s="795"/>
    </row>
    <row r="7305" spans="4:5" hidden="1">
      <c r="D7305" s="795"/>
      <c r="E7305" s="795"/>
    </row>
    <row r="7306" spans="4:5" hidden="1">
      <c r="D7306" s="795"/>
      <c r="E7306" s="795"/>
    </row>
    <row r="7307" spans="4:5" hidden="1">
      <c r="D7307" s="795"/>
      <c r="E7307" s="795"/>
    </row>
    <row r="7308" spans="4:5" hidden="1">
      <c r="D7308" s="795"/>
      <c r="E7308" s="795"/>
    </row>
    <row r="7309" spans="4:5" hidden="1">
      <c r="D7309" s="795"/>
      <c r="E7309" s="795"/>
    </row>
    <row r="7310" spans="4:5" hidden="1">
      <c r="D7310" s="795"/>
      <c r="E7310" s="795"/>
    </row>
    <row r="7311" spans="4:5" hidden="1">
      <c r="D7311" s="795"/>
      <c r="E7311" s="795"/>
    </row>
    <row r="7312" spans="4:5" hidden="1">
      <c r="D7312" s="795"/>
      <c r="E7312" s="795"/>
    </row>
    <row r="7313" spans="4:5" hidden="1">
      <c r="D7313" s="795"/>
      <c r="E7313" s="795"/>
    </row>
    <row r="7314" spans="4:5" hidden="1">
      <c r="D7314" s="795"/>
      <c r="E7314" s="795"/>
    </row>
    <row r="7315" spans="4:5" hidden="1">
      <c r="D7315" s="795"/>
      <c r="E7315" s="795"/>
    </row>
    <row r="7316" spans="4:5" hidden="1">
      <c r="D7316" s="795"/>
      <c r="E7316" s="795"/>
    </row>
    <row r="7317" spans="4:5" hidden="1">
      <c r="D7317" s="795"/>
      <c r="E7317" s="795"/>
    </row>
    <row r="7318" spans="4:5" hidden="1">
      <c r="D7318" s="795"/>
      <c r="E7318" s="795"/>
    </row>
    <row r="7319" spans="4:5" hidden="1">
      <c r="D7319" s="795"/>
      <c r="E7319" s="795"/>
    </row>
    <row r="7320" spans="4:5" hidden="1">
      <c r="D7320" s="795"/>
      <c r="E7320" s="795"/>
    </row>
    <row r="7321" spans="4:5" hidden="1">
      <c r="D7321" s="795"/>
      <c r="E7321" s="795"/>
    </row>
    <row r="7322" spans="4:5" hidden="1">
      <c r="D7322" s="795"/>
      <c r="E7322" s="795"/>
    </row>
    <row r="7323" spans="4:5" hidden="1">
      <c r="D7323" s="795"/>
      <c r="E7323" s="795"/>
    </row>
    <row r="7324" spans="4:5" hidden="1">
      <c r="D7324" s="795"/>
      <c r="E7324" s="795"/>
    </row>
    <row r="7325" spans="4:5" hidden="1">
      <c r="D7325" s="795"/>
      <c r="E7325" s="795"/>
    </row>
    <row r="7326" spans="4:5" hidden="1">
      <c r="D7326" s="795"/>
      <c r="E7326" s="795"/>
    </row>
    <row r="7327" spans="4:5" hidden="1">
      <c r="D7327" s="795"/>
      <c r="E7327" s="795"/>
    </row>
    <row r="7328" spans="4:5" hidden="1">
      <c r="D7328" s="795"/>
      <c r="E7328" s="795"/>
    </row>
    <row r="7329" spans="4:5" hidden="1">
      <c r="D7329" s="795"/>
      <c r="E7329" s="795"/>
    </row>
    <row r="7330" spans="4:5" hidden="1">
      <c r="D7330" s="795"/>
      <c r="E7330" s="795"/>
    </row>
    <row r="7331" spans="4:5" hidden="1">
      <c r="D7331" s="795"/>
      <c r="E7331" s="795"/>
    </row>
    <row r="7332" spans="4:5" hidden="1">
      <c r="D7332" s="795"/>
      <c r="E7332" s="795"/>
    </row>
    <row r="7333" spans="4:5" hidden="1">
      <c r="D7333" s="795"/>
      <c r="E7333" s="795"/>
    </row>
    <row r="7334" spans="4:5" hidden="1">
      <c r="D7334" s="795"/>
      <c r="E7334" s="795"/>
    </row>
    <row r="7335" spans="4:5" hidden="1">
      <c r="D7335" s="795"/>
      <c r="E7335" s="795"/>
    </row>
    <row r="7336" spans="4:5" hidden="1">
      <c r="D7336" s="795"/>
      <c r="E7336" s="795"/>
    </row>
    <row r="7337" spans="4:5" hidden="1">
      <c r="D7337" s="795"/>
      <c r="E7337" s="795"/>
    </row>
    <row r="7338" spans="4:5" hidden="1">
      <c r="D7338" s="795"/>
      <c r="E7338" s="795"/>
    </row>
    <row r="7339" spans="4:5" hidden="1">
      <c r="D7339" s="795"/>
      <c r="E7339" s="795"/>
    </row>
    <row r="7340" spans="4:5" hidden="1">
      <c r="D7340" s="795"/>
      <c r="E7340" s="795"/>
    </row>
    <row r="7341" spans="4:5" hidden="1">
      <c r="D7341" s="795"/>
      <c r="E7341" s="795"/>
    </row>
    <row r="7342" spans="4:5" hidden="1">
      <c r="D7342" s="795"/>
      <c r="E7342" s="795"/>
    </row>
    <row r="7343" spans="4:5" hidden="1">
      <c r="D7343" s="795"/>
      <c r="E7343" s="795"/>
    </row>
    <row r="7344" spans="4:5" hidden="1">
      <c r="D7344" s="795"/>
      <c r="E7344" s="795"/>
    </row>
    <row r="7345" spans="4:5" hidden="1">
      <c r="D7345" s="795"/>
      <c r="E7345" s="795"/>
    </row>
    <row r="7346" spans="4:5" hidden="1">
      <c r="D7346" s="795"/>
      <c r="E7346" s="795"/>
    </row>
    <row r="7347" spans="4:5" hidden="1">
      <c r="D7347" s="795"/>
      <c r="E7347" s="795"/>
    </row>
    <row r="7348" spans="4:5" hidden="1">
      <c r="D7348" s="795"/>
      <c r="E7348" s="795"/>
    </row>
    <row r="7349" spans="4:5" hidden="1">
      <c r="D7349" s="795"/>
      <c r="E7349" s="795"/>
    </row>
    <row r="7350" spans="4:5" hidden="1">
      <c r="D7350" s="795"/>
      <c r="E7350" s="795"/>
    </row>
    <row r="7351" spans="4:5" hidden="1">
      <c r="D7351" s="795"/>
      <c r="E7351" s="795"/>
    </row>
    <row r="7352" spans="4:5" hidden="1">
      <c r="D7352" s="795"/>
      <c r="E7352" s="795"/>
    </row>
    <row r="7353" spans="4:5" hidden="1">
      <c r="D7353" s="795"/>
      <c r="E7353" s="795"/>
    </row>
    <row r="7354" spans="4:5" hidden="1">
      <c r="D7354" s="795"/>
      <c r="E7354" s="795"/>
    </row>
    <row r="7355" spans="4:5" hidden="1">
      <c r="D7355" s="795"/>
      <c r="E7355" s="795"/>
    </row>
    <row r="7356" spans="4:5" hidden="1">
      <c r="D7356" s="795"/>
      <c r="E7356" s="795"/>
    </row>
    <row r="7357" spans="4:5" hidden="1">
      <c r="D7357" s="795"/>
      <c r="E7357" s="795"/>
    </row>
    <row r="7358" spans="4:5" hidden="1">
      <c r="D7358" s="795"/>
      <c r="E7358" s="795"/>
    </row>
    <row r="7359" spans="4:5" hidden="1">
      <c r="D7359" s="795"/>
      <c r="E7359" s="795"/>
    </row>
    <row r="7360" spans="4:5" hidden="1">
      <c r="D7360" s="795"/>
      <c r="E7360" s="795"/>
    </row>
    <row r="7361" spans="4:5" hidden="1">
      <c r="D7361" s="795"/>
      <c r="E7361" s="795"/>
    </row>
    <row r="7362" spans="4:5" hidden="1">
      <c r="D7362" s="795"/>
      <c r="E7362" s="795"/>
    </row>
    <row r="7363" spans="4:5" hidden="1">
      <c r="D7363" s="795"/>
      <c r="E7363" s="795"/>
    </row>
    <row r="7364" spans="4:5" hidden="1">
      <c r="D7364" s="795"/>
      <c r="E7364" s="795"/>
    </row>
    <row r="7365" spans="4:5" hidden="1">
      <c r="D7365" s="795"/>
      <c r="E7365" s="795"/>
    </row>
    <row r="7366" spans="4:5" hidden="1">
      <c r="D7366" s="795"/>
      <c r="E7366" s="795"/>
    </row>
    <row r="7367" spans="4:5" hidden="1">
      <c r="D7367" s="795"/>
      <c r="E7367" s="795"/>
    </row>
    <row r="7368" spans="4:5" hidden="1">
      <c r="D7368" s="795"/>
      <c r="E7368" s="795"/>
    </row>
    <row r="7369" spans="4:5" hidden="1">
      <c r="D7369" s="795"/>
      <c r="E7369" s="795"/>
    </row>
    <row r="7370" spans="4:5" hidden="1">
      <c r="D7370" s="795"/>
      <c r="E7370" s="795"/>
    </row>
    <row r="7371" spans="4:5" hidden="1">
      <c r="D7371" s="795"/>
      <c r="E7371" s="795"/>
    </row>
    <row r="7372" spans="4:5" hidden="1">
      <c r="D7372" s="795"/>
      <c r="E7372" s="795"/>
    </row>
    <row r="7373" spans="4:5" hidden="1">
      <c r="D7373" s="795"/>
      <c r="E7373" s="795"/>
    </row>
    <row r="7374" spans="4:5" hidden="1">
      <c r="D7374" s="795"/>
      <c r="E7374" s="795"/>
    </row>
    <row r="7375" spans="4:5" hidden="1">
      <c r="D7375" s="795"/>
      <c r="E7375" s="795"/>
    </row>
    <row r="7376" spans="4:5" hidden="1">
      <c r="D7376" s="795"/>
      <c r="E7376" s="795"/>
    </row>
    <row r="7377" spans="4:5" hidden="1">
      <c r="D7377" s="795"/>
      <c r="E7377" s="795"/>
    </row>
    <row r="7378" spans="4:5" hidden="1">
      <c r="D7378" s="795"/>
      <c r="E7378" s="795"/>
    </row>
    <row r="7379" spans="4:5" hidden="1">
      <c r="D7379" s="795"/>
      <c r="E7379" s="795"/>
    </row>
    <row r="7380" spans="4:5" hidden="1">
      <c r="D7380" s="795"/>
      <c r="E7380" s="795"/>
    </row>
    <row r="7381" spans="4:5" hidden="1">
      <c r="D7381" s="795"/>
      <c r="E7381" s="795"/>
    </row>
    <row r="7382" spans="4:5" hidden="1">
      <c r="D7382" s="795"/>
      <c r="E7382" s="795"/>
    </row>
    <row r="7383" spans="4:5" hidden="1">
      <c r="D7383" s="795"/>
      <c r="E7383" s="795"/>
    </row>
    <row r="7384" spans="4:5" hidden="1">
      <c r="D7384" s="795"/>
      <c r="E7384" s="795"/>
    </row>
    <row r="7385" spans="4:5" hidden="1">
      <c r="D7385" s="795"/>
      <c r="E7385" s="795"/>
    </row>
    <row r="7386" spans="4:5" hidden="1">
      <c r="D7386" s="795"/>
      <c r="E7386" s="795"/>
    </row>
    <row r="7387" spans="4:5" hidden="1">
      <c r="D7387" s="795"/>
      <c r="E7387" s="795"/>
    </row>
    <row r="7388" spans="4:5" hidden="1">
      <c r="D7388" s="795"/>
      <c r="E7388" s="795"/>
    </row>
    <row r="7389" spans="4:5" hidden="1">
      <c r="D7389" s="795"/>
      <c r="E7389" s="795"/>
    </row>
    <row r="7390" spans="4:5" hidden="1">
      <c r="D7390" s="795"/>
      <c r="E7390" s="795"/>
    </row>
    <row r="7391" spans="4:5" hidden="1">
      <c r="D7391" s="795"/>
      <c r="E7391" s="795"/>
    </row>
    <row r="7392" spans="4:5" hidden="1">
      <c r="D7392" s="795"/>
      <c r="E7392" s="795"/>
    </row>
    <row r="7393" spans="4:5" hidden="1">
      <c r="D7393" s="795"/>
      <c r="E7393" s="795"/>
    </row>
    <row r="7394" spans="4:5" hidden="1">
      <c r="D7394" s="795"/>
      <c r="E7394" s="795"/>
    </row>
    <row r="7395" spans="4:5" hidden="1">
      <c r="D7395" s="795"/>
      <c r="E7395" s="795"/>
    </row>
    <row r="7396" spans="4:5" hidden="1">
      <c r="D7396" s="795"/>
      <c r="E7396" s="795"/>
    </row>
    <row r="7397" spans="4:5" hidden="1">
      <c r="D7397" s="795"/>
      <c r="E7397" s="795"/>
    </row>
    <row r="7398" spans="4:5" hidden="1">
      <c r="D7398" s="795"/>
      <c r="E7398" s="795"/>
    </row>
    <row r="7399" spans="4:5" hidden="1">
      <c r="D7399" s="795"/>
      <c r="E7399" s="795"/>
    </row>
    <row r="7400" spans="4:5" hidden="1">
      <c r="D7400" s="795"/>
      <c r="E7400" s="795"/>
    </row>
    <row r="7401" spans="4:5" hidden="1">
      <c r="D7401" s="795"/>
      <c r="E7401" s="795"/>
    </row>
    <row r="7402" spans="4:5" hidden="1">
      <c r="D7402" s="795"/>
      <c r="E7402" s="795"/>
    </row>
    <row r="7403" spans="4:5" hidden="1">
      <c r="D7403" s="795"/>
      <c r="E7403" s="795"/>
    </row>
    <row r="7404" spans="4:5" hidden="1">
      <c r="D7404" s="795"/>
      <c r="E7404" s="795"/>
    </row>
    <row r="7405" spans="4:5" hidden="1">
      <c r="D7405" s="795"/>
      <c r="E7405" s="795"/>
    </row>
    <row r="7406" spans="4:5" hidden="1">
      <c r="D7406" s="795"/>
      <c r="E7406" s="795"/>
    </row>
    <row r="7407" spans="4:5" hidden="1">
      <c r="D7407" s="795"/>
      <c r="E7407" s="795"/>
    </row>
    <row r="7408" spans="4:5" hidden="1">
      <c r="D7408" s="795"/>
      <c r="E7408" s="795"/>
    </row>
    <row r="7409" spans="4:5" hidden="1">
      <c r="D7409" s="795"/>
      <c r="E7409" s="795"/>
    </row>
    <row r="7410" spans="4:5" hidden="1">
      <c r="D7410" s="795"/>
      <c r="E7410" s="795"/>
    </row>
    <row r="7411" spans="4:5" hidden="1">
      <c r="D7411" s="795"/>
      <c r="E7411" s="795"/>
    </row>
    <row r="7412" spans="4:5" hidden="1">
      <c r="D7412" s="795"/>
      <c r="E7412" s="795"/>
    </row>
    <row r="7413" spans="4:5" hidden="1">
      <c r="D7413" s="795"/>
      <c r="E7413" s="795"/>
    </row>
    <row r="7414" spans="4:5" hidden="1">
      <c r="D7414" s="795"/>
      <c r="E7414" s="795"/>
    </row>
    <row r="7415" spans="4:5" hidden="1">
      <c r="D7415" s="795"/>
      <c r="E7415" s="795"/>
    </row>
    <row r="7416" spans="4:5" hidden="1">
      <c r="D7416" s="795"/>
      <c r="E7416" s="795"/>
    </row>
    <row r="7417" spans="4:5" hidden="1">
      <c r="D7417" s="795"/>
      <c r="E7417" s="795"/>
    </row>
    <row r="7418" spans="4:5" hidden="1">
      <c r="D7418" s="795"/>
      <c r="E7418" s="795"/>
    </row>
    <row r="7419" spans="4:5" hidden="1">
      <c r="D7419" s="795"/>
      <c r="E7419" s="795"/>
    </row>
    <row r="7420" spans="4:5" hidden="1">
      <c r="D7420" s="795"/>
      <c r="E7420" s="795"/>
    </row>
    <row r="7421" spans="4:5" hidden="1">
      <c r="D7421" s="795"/>
      <c r="E7421" s="795"/>
    </row>
    <row r="7422" spans="4:5" hidden="1">
      <c r="D7422" s="795"/>
      <c r="E7422" s="795"/>
    </row>
    <row r="7423" spans="4:5" hidden="1">
      <c r="D7423" s="795"/>
      <c r="E7423" s="795"/>
    </row>
    <row r="7424" spans="4:5" hidden="1">
      <c r="D7424" s="795"/>
      <c r="E7424" s="795"/>
    </row>
    <row r="7425" spans="4:5" hidden="1">
      <c r="D7425" s="795"/>
      <c r="E7425" s="795"/>
    </row>
    <row r="7426" spans="4:5" hidden="1">
      <c r="D7426" s="795"/>
      <c r="E7426" s="795"/>
    </row>
    <row r="7427" spans="4:5" hidden="1">
      <c r="D7427" s="795"/>
      <c r="E7427" s="795"/>
    </row>
    <row r="7428" spans="4:5" hidden="1">
      <c r="D7428" s="795"/>
      <c r="E7428" s="795"/>
    </row>
    <row r="7429" spans="4:5" hidden="1">
      <c r="D7429" s="795"/>
      <c r="E7429" s="795"/>
    </row>
    <row r="7430" spans="4:5" hidden="1">
      <c r="D7430" s="795"/>
      <c r="E7430" s="795"/>
    </row>
    <row r="7431" spans="4:5" hidden="1">
      <c r="D7431" s="795"/>
      <c r="E7431" s="795"/>
    </row>
    <row r="7432" spans="4:5" hidden="1">
      <c r="D7432" s="795"/>
      <c r="E7432" s="795"/>
    </row>
    <row r="7433" spans="4:5" hidden="1">
      <c r="D7433" s="795"/>
      <c r="E7433" s="795"/>
    </row>
    <row r="7434" spans="4:5" hidden="1">
      <c r="D7434" s="795"/>
      <c r="E7434" s="795"/>
    </row>
    <row r="7435" spans="4:5" hidden="1">
      <c r="D7435" s="795"/>
      <c r="E7435" s="795"/>
    </row>
    <row r="7436" spans="4:5" hidden="1">
      <c r="D7436" s="795"/>
      <c r="E7436" s="795"/>
    </row>
    <row r="7437" spans="4:5" hidden="1">
      <c r="D7437" s="795"/>
      <c r="E7437" s="795"/>
    </row>
    <row r="7438" spans="4:5" hidden="1">
      <c r="D7438" s="795"/>
      <c r="E7438" s="795"/>
    </row>
    <row r="7439" spans="4:5" hidden="1">
      <c r="D7439" s="795"/>
      <c r="E7439" s="795"/>
    </row>
    <row r="7440" spans="4:5" hidden="1">
      <c r="D7440" s="795"/>
      <c r="E7440" s="795"/>
    </row>
    <row r="7441" spans="4:5" hidden="1">
      <c r="D7441" s="795"/>
      <c r="E7441" s="795"/>
    </row>
    <row r="7442" spans="4:5" hidden="1">
      <c r="D7442" s="795"/>
      <c r="E7442" s="795"/>
    </row>
    <row r="7443" spans="4:5" hidden="1">
      <c r="D7443" s="795"/>
      <c r="E7443" s="795"/>
    </row>
    <row r="7444" spans="4:5" hidden="1">
      <c r="D7444" s="795"/>
      <c r="E7444" s="795"/>
    </row>
    <row r="7445" spans="4:5" hidden="1">
      <c r="D7445" s="795"/>
      <c r="E7445" s="795"/>
    </row>
    <row r="7446" spans="4:5" hidden="1">
      <c r="D7446" s="795"/>
      <c r="E7446" s="795"/>
    </row>
    <row r="7447" spans="4:5" hidden="1">
      <c r="D7447" s="795"/>
      <c r="E7447" s="795"/>
    </row>
    <row r="7448" spans="4:5" hidden="1">
      <c r="D7448" s="795"/>
      <c r="E7448" s="795"/>
    </row>
    <row r="7449" spans="4:5" hidden="1">
      <c r="D7449" s="795"/>
      <c r="E7449" s="795"/>
    </row>
    <row r="7450" spans="4:5" hidden="1">
      <c r="D7450" s="795"/>
      <c r="E7450" s="795"/>
    </row>
    <row r="7451" spans="4:5" hidden="1">
      <c r="D7451" s="795"/>
      <c r="E7451" s="795"/>
    </row>
    <row r="7452" spans="4:5" hidden="1">
      <c r="D7452" s="795"/>
      <c r="E7452" s="795"/>
    </row>
    <row r="7453" spans="4:5" hidden="1">
      <c r="D7453" s="795"/>
      <c r="E7453" s="795"/>
    </row>
    <row r="7454" spans="4:5" hidden="1">
      <c r="D7454" s="795"/>
      <c r="E7454" s="795"/>
    </row>
    <row r="7455" spans="4:5" hidden="1">
      <c r="D7455" s="795"/>
      <c r="E7455" s="795"/>
    </row>
    <row r="7456" spans="4:5" hidden="1">
      <c r="D7456" s="795"/>
      <c r="E7456" s="795"/>
    </row>
    <row r="7457" spans="4:5" hidden="1">
      <c r="D7457" s="795"/>
      <c r="E7457" s="795"/>
    </row>
    <row r="7458" spans="4:5" hidden="1">
      <c r="D7458" s="795"/>
      <c r="E7458" s="795"/>
    </row>
    <row r="7459" spans="4:5" hidden="1">
      <c r="D7459" s="795"/>
      <c r="E7459" s="795"/>
    </row>
    <row r="7460" spans="4:5" hidden="1">
      <c r="D7460" s="795"/>
      <c r="E7460" s="795"/>
    </row>
    <row r="7461" spans="4:5" hidden="1">
      <c r="D7461" s="795"/>
      <c r="E7461" s="795"/>
    </row>
    <row r="7462" spans="4:5" hidden="1">
      <c r="D7462" s="795"/>
      <c r="E7462" s="795"/>
    </row>
    <row r="7463" spans="4:5" hidden="1">
      <c r="D7463" s="795"/>
      <c r="E7463" s="795"/>
    </row>
    <row r="7464" spans="4:5" hidden="1">
      <c r="D7464" s="795"/>
      <c r="E7464" s="795"/>
    </row>
    <row r="7465" spans="4:5" hidden="1">
      <c r="D7465" s="795"/>
      <c r="E7465" s="795"/>
    </row>
    <row r="7466" spans="4:5" hidden="1">
      <c r="D7466" s="795"/>
      <c r="E7466" s="795"/>
    </row>
    <row r="7467" spans="4:5" hidden="1">
      <c r="D7467" s="795"/>
      <c r="E7467" s="795"/>
    </row>
    <row r="7468" spans="4:5" hidden="1">
      <c r="D7468" s="795"/>
      <c r="E7468" s="795"/>
    </row>
    <row r="7469" spans="4:5" hidden="1">
      <c r="D7469" s="795"/>
      <c r="E7469" s="795"/>
    </row>
    <row r="7470" spans="4:5" hidden="1">
      <c r="D7470" s="795"/>
      <c r="E7470" s="795"/>
    </row>
    <row r="7471" spans="4:5" hidden="1">
      <c r="D7471" s="795"/>
      <c r="E7471" s="795"/>
    </row>
    <row r="7472" spans="4:5" hidden="1">
      <c r="D7472" s="795"/>
      <c r="E7472" s="795"/>
    </row>
    <row r="7473" spans="4:5" hidden="1">
      <c r="D7473" s="795"/>
      <c r="E7473" s="795"/>
    </row>
    <row r="7474" spans="4:5" hidden="1">
      <c r="D7474" s="795"/>
      <c r="E7474" s="795"/>
    </row>
    <row r="7475" spans="4:5" hidden="1">
      <c r="D7475" s="795"/>
      <c r="E7475" s="795"/>
    </row>
    <row r="7476" spans="4:5" hidden="1">
      <c r="D7476" s="795"/>
      <c r="E7476" s="795"/>
    </row>
    <row r="7477" spans="4:5" hidden="1">
      <c r="D7477" s="795"/>
      <c r="E7477" s="795"/>
    </row>
    <row r="7478" spans="4:5" hidden="1">
      <c r="D7478" s="795"/>
      <c r="E7478" s="795"/>
    </row>
    <row r="7479" spans="4:5" hidden="1">
      <c r="D7479" s="795"/>
      <c r="E7479" s="795"/>
    </row>
    <row r="7480" spans="4:5" hidden="1">
      <c r="D7480" s="795"/>
      <c r="E7480" s="795"/>
    </row>
    <row r="7481" spans="4:5" hidden="1">
      <c r="D7481" s="795"/>
      <c r="E7481" s="795"/>
    </row>
    <row r="7482" spans="4:5" hidden="1">
      <c r="D7482" s="795"/>
      <c r="E7482" s="795"/>
    </row>
    <row r="7483" spans="4:5" hidden="1">
      <c r="D7483" s="795"/>
      <c r="E7483" s="795"/>
    </row>
    <row r="7484" spans="4:5" hidden="1">
      <c r="D7484" s="795"/>
      <c r="E7484" s="795"/>
    </row>
    <row r="7485" spans="4:5" hidden="1">
      <c r="D7485" s="795"/>
      <c r="E7485" s="795"/>
    </row>
    <row r="7486" spans="4:5" hidden="1">
      <c r="D7486" s="795"/>
      <c r="E7486" s="795"/>
    </row>
    <row r="7487" spans="4:5" hidden="1">
      <c r="D7487" s="795"/>
      <c r="E7487" s="795"/>
    </row>
    <row r="7488" spans="4:5" hidden="1">
      <c r="D7488" s="795"/>
      <c r="E7488" s="795"/>
    </row>
    <row r="7489" spans="4:5" hidden="1">
      <c r="D7489" s="795"/>
      <c r="E7489" s="795"/>
    </row>
    <row r="7490" spans="4:5" hidden="1">
      <c r="D7490" s="795"/>
      <c r="E7490" s="795"/>
    </row>
    <row r="7491" spans="4:5" hidden="1">
      <c r="D7491" s="795"/>
      <c r="E7491" s="795"/>
    </row>
    <row r="7492" spans="4:5" hidden="1">
      <c r="D7492" s="795"/>
      <c r="E7492" s="795"/>
    </row>
    <row r="7493" spans="4:5" hidden="1">
      <c r="D7493" s="795"/>
      <c r="E7493" s="795"/>
    </row>
    <row r="7494" spans="4:5" hidden="1">
      <c r="D7494" s="795"/>
      <c r="E7494" s="795"/>
    </row>
    <row r="7495" spans="4:5" hidden="1">
      <c r="D7495" s="795"/>
      <c r="E7495" s="795"/>
    </row>
    <row r="7496" spans="4:5" hidden="1">
      <c r="D7496" s="795"/>
      <c r="E7496" s="795"/>
    </row>
    <row r="7497" spans="4:5" hidden="1">
      <c r="D7497" s="795"/>
      <c r="E7497" s="795"/>
    </row>
    <row r="7498" spans="4:5" hidden="1">
      <c r="D7498" s="795"/>
      <c r="E7498" s="795"/>
    </row>
    <row r="7499" spans="4:5" hidden="1">
      <c r="D7499" s="795"/>
      <c r="E7499" s="795"/>
    </row>
    <row r="7500" spans="4:5" hidden="1">
      <c r="D7500" s="795"/>
      <c r="E7500" s="795"/>
    </row>
    <row r="7501" spans="4:5" hidden="1">
      <c r="D7501" s="795"/>
      <c r="E7501" s="795"/>
    </row>
    <row r="7502" spans="4:5" hidden="1">
      <c r="D7502" s="795"/>
      <c r="E7502" s="795"/>
    </row>
    <row r="7503" spans="4:5" hidden="1">
      <c r="D7503" s="795"/>
      <c r="E7503" s="795"/>
    </row>
    <row r="7504" spans="4:5" hidden="1">
      <c r="D7504" s="795"/>
      <c r="E7504" s="795"/>
    </row>
    <row r="7505" spans="4:5" hidden="1">
      <c r="D7505" s="795"/>
      <c r="E7505" s="795"/>
    </row>
    <row r="7506" spans="4:5" hidden="1">
      <c r="D7506" s="795"/>
      <c r="E7506" s="795"/>
    </row>
    <row r="7507" spans="4:5" hidden="1">
      <c r="D7507" s="795"/>
      <c r="E7507" s="795"/>
    </row>
    <row r="7508" spans="4:5" hidden="1">
      <c r="D7508" s="795"/>
      <c r="E7508" s="795"/>
    </row>
    <row r="7509" spans="4:5" hidden="1">
      <c r="D7509" s="795"/>
      <c r="E7509" s="795"/>
    </row>
    <row r="7510" spans="4:5" hidden="1">
      <c r="D7510" s="795"/>
      <c r="E7510" s="795"/>
    </row>
    <row r="7511" spans="4:5" hidden="1">
      <c r="D7511" s="795"/>
      <c r="E7511" s="795"/>
    </row>
    <row r="7512" spans="4:5" hidden="1">
      <c r="D7512" s="795"/>
      <c r="E7512" s="795"/>
    </row>
    <row r="7513" spans="4:5" hidden="1">
      <c r="D7513" s="795"/>
      <c r="E7513" s="795"/>
    </row>
    <row r="7514" spans="4:5" hidden="1">
      <c r="D7514" s="795"/>
      <c r="E7514" s="795"/>
    </row>
    <row r="7515" spans="4:5" hidden="1">
      <c r="D7515" s="795"/>
      <c r="E7515" s="795"/>
    </row>
    <row r="7516" spans="4:5" hidden="1">
      <c r="D7516" s="795"/>
      <c r="E7516" s="795"/>
    </row>
    <row r="7517" spans="4:5" hidden="1">
      <c r="D7517" s="795"/>
      <c r="E7517" s="795"/>
    </row>
    <row r="7518" spans="4:5" hidden="1">
      <c r="D7518" s="795"/>
      <c r="E7518" s="795"/>
    </row>
    <row r="7519" spans="4:5" hidden="1">
      <c r="D7519" s="795"/>
      <c r="E7519" s="795"/>
    </row>
    <row r="7520" spans="4:5" hidden="1">
      <c r="D7520" s="795"/>
      <c r="E7520" s="795"/>
    </row>
    <row r="7521" spans="4:5" hidden="1">
      <c r="D7521" s="795"/>
      <c r="E7521" s="795"/>
    </row>
    <row r="7522" spans="4:5" hidden="1">
      <c r="D7522" s="795"/>
      <c r="E7522" s="795"/>
    </row>
    <row r="7523" spans="4:5" hidden="1">
      <c r="D7523" s="795"/>
      <c r="E7523" s="795"/>
    </row>
    <row r="7524" spans="4:5" hidden="1">
      <c r="D7524" s="795"/>
      <c r="E7524" s="795"/>
    </row>
    <row r="7525" spans="4:5" hidden="1">
      <c r="D7525" s="795"/>
      <c r="E7525" s="795"/>
    </row>
    <row r="7526" spans="4:5" hidden="1">
      <c r="D7526" s="795"/>
      <c r="E7526" s="795"/>
    </row>
    <row r="7527" spans="4:5" hidden="1">
      <c r="D7527" s="795"/>
      <c r="E7527" s="795"/>
    </row>
    <row r="7528" spans="4:5" hidden="1">
      <c r="D7528" s="795"/>
      <c r="E7528" s="795"/>
    </row>
    <row r="7529" spans="4:5" hidden="1">
      <c r="D7529" s="795"/>
      <c r="E7529" s="795"/>
    </row>
    <row r="7530" spans="4:5" hidden="1">
      <c r="D7530" s="795"/>
      <c r="E7530" s="795"/>
    </row>
    <row r="7531" spans="4:5" hidden="1">
      <c r="D7531" s="795"/>
      <c r="E7531" s="795"/>
    </row>
    <row r="7532" spans="4:5" hidden="1">
      <c r="D7532" s="795"/>
      <c r="E7532" s="795"/>
    </row>
    <row r="7533" spans="4:5" hidden="1">
      <c r="D7533" s="795"/>
      <c r="E7533" s="795"/>
    </row>
    <row r="7534" spans="4:5" hidden="1">
      <c r="D7534" s="795"/>
      <c r="E7534" s="795"/>
    </row>
    <row r="7535" spans="4:5" hidden="1">
      <c r="D7535" s="795"/>
      <c r="E7535" s="795"/>
    </row>
    <row r="7536" spans="4:5" hidden="1">
      <c r="D7536" s="795"/>
      <c r="E7536" s="795"/>
    </row>
    <row r="7537" spans="4:5" hidden="1">
      <c r="D7537" s="795"/>
      <c r="E7537" s="795"/>
    </row>
    <row r="7538" spans="4:5" hidden="1">
      <c r="D7538" s="795"/>
      <c r="E7538" s="795"/>
    </row>
    <row r="7539" spans="4:5" hidden="1">
      <c r="D7539" s="795"/>
      <c r="E7539" s="795"/>
    </row>
    <row r="7540" spans="4:5" hidden="1">
      <c r="D7540" s="795"/>
      <c r="E7540" s="795"/>
    </row>
    <row r="7541" spans="4:5" hidden="1">
      <c r="D7541" s="795"/>
      <c r="E7541" s="795"/>
    </row>
    <row r="7542" spans="4:5" hidden="1">
      <c r="D7542" s="795"/>
      <c r="E7542" s="795"/>
    </row>
    <row r="7543" spans="4:5" hidden="1">
      <c r="D7543" s="795"/>
      <c r="E7543" s="795"/>
    </row>
    <row r="7544" spans="4:5" hidden="1">
      <c r="D7544" s="795"/>
      <c r="E7544" s="795"/>
    </row>
    <row r="7545" spans="4:5" hidden="1">
      <c r="D7545" s="795"/>
      <c r="E7545" s="795"/>
    </row>
    <row r="7546" spans="4:5" hidden="1">
      <c r="D7546" s="795"/>
      <c r="E7546" s="795"/>
    </row>
    <row r="7547" spans="4:5" hidden="1">
      <c r="D7547" s="795"/>
      <c r="E7547" s="795"/>
    </row>
    <row r="7548" spans="4:5" hidden="1">
      <c r="D7548" s="795"/>
      <c r="E7548" s="795"/>
    </row>
    <row r="7549" spans="4:5" hidden="1">
      <c r="D7549" s="795"/>
      <c r="E7549" s="795"/>
    </row>
    <row r="7550" spans="4:5" hidden="1">
      <c r="D7550" s="795"/>
      <c r="E7550" s="795"/>
    </row>
    <row r="7551" spans="4:5" hidden="1">
      <c r="D7551" s="795"/>
      <c r="E7551" s="795"/>
    </row>
    <row r="7552" spans="4:5" hidden="1">
      <c r="D7552" s="795"/>
      <c r="E7552" s="795"/>
    </row>
    <row r="7553" spans="4:5" hidden="1">
      <c r="D7553" s="795"/>
      <c r="E7553" s="795"/>
    </row>
    <row r="7554" spans="4:5" hidden="1">
      <c r="D7554" s="795"/>
      <c r="E7554" s="795"/>
    </row>
    <row r="7555" spans="4:5" hidden="1">
      <c r="D7555" s="795"/>
      <c r="E7555" s="795"/>
    </row>
    <row r="7556" spans="4:5" hidden="1">
      <c r="D7556" s="795"/>
      <c r="E7556" s="795"/>
    </row>
    <row r="7557" spans="4:5" hidden="1">
      <c r="D7557" s="795"/>
      <c r="E7557" s="795"/>
    </row>
    <row r="7558" spans="4:5" hidden="1">
      <c r="D7558" s="795"/>
      <c r="E7558" s="795"/>
    </row>
    <row r="7559" spans="4:5" hidden="1">
      <c r="D7559" s="795"/>
      <c r="E7559" s="795"/>
    </row>
    <row r="7560" spans="4:5" hidden="1">
      <c r="D7560" s="795"/>
      <c r="E7560" s="795"/>
    </row>
    <row r="7561" spans="4:5" hidden="1">
      <c r="D7561" s="795"/>
      <c r="E7561" s="795"/>
    </row>
    <row r="7562" spans="4:5" hidden="1">
      <c r="D7562" s="795"/>
      <c r="E7562" s="795"/>
    </row>
    <row r="7563" spans="4:5" hidden="1">
      <c r="D7563" s="795"/>
      <c r="E7563" s="795"/>
    </row>
    <row r="7564" spans="4:5" hidden="1">
      <c r="D7564" s="795"/>
      <c r="E7564" s="795"/>
    </row>
    <row r="7565" spans="4:5" hidden="1">
      <c r="D7565" s="795"/>
      <c r="E7565" s="795"/>
    </row>
    <row r="7566" spans="4:5" hidden="1">
      <c r="D7566" s="795"/>
      <c r="E7566" s="795"/>
    </row>
    <row r="7567" spans="4:5" hidden="1">
      <c r="D7567" s="795"/>
      <c r="E7567" s="795"/>
    </row>
    <row r="7568" spans="4:5" hidden="1">
      <c r="D7568" s="795"/>
      <c r="E7568" s="795"/>
    </row>
    <row r="7569" spans="4:5" hidden="1">
      <c r="D7569" s="795"/>
      <c r="E7569" s="795"/>
    </row>
    <row r="7570" spans="4:5" hidden="1">
      <c r="D7570" s="795"/>
      <c r="E7570" s="795"/>
    </row>
    <row r="7571" spans="4:5" hidden="1">
      <c r="D7571" s="795"/>
      <c r="E7571" s="795"/>
    </row>
    <row r="7572" spans="4:5" hidden="1">
      <c r="D7572" s="795"/>
      <c r="E7572" s="795"/>
    </row>
    <row r="7573" spans="4:5" hidden="1">
      <c r="D7573" s="795"/>
      <c r="E7573" s="795"/>
    </row>
    <row r="7574" spans="4:5" hidden="1">
      <c r="D7574" s="795"/>
      <c r="E7574" s="795"/>
    </row>
    <row r="7575" spans="4:5" hidden="1">
      <c r="D7575" s="795"/>
      <c r="E7575" s="795"/>
    </row>
    <row r="7576" spans="4:5" hidden="1">
      <c r="D7576" s="795"/>
      <c r="E7576" s="795"/>
    </row>
    <row r="7577" spans="4:5" hidden="1">
      <c r="D7577" s="795"/>
      <c r="E7577" s="795"/>
    </row>
    <row r="7578" spans="4:5" hidden="1">
      <c r="D7578" s="795"/>
      <c r="E7578" s="795"/>
    </row>
    <row r="7579" spans="4:5" hidden="1">
      <c r="D7579" s="795"/>
      <c r="E7579" s="795"/>
    </row>
    <row r="7580" spans="4:5" hidden="1">
      <c r="D7580" s="795"/>
      <c r="E7580" s="795"/>
    </row>
    <row r="7581" spans="4:5" hidden="1">
      <c r="D7581" s="795"/>
      <c r="E7581" s="795"/>
    </row>
    <row r="7582" spans="4:5" hidden="1">
      <c r="D7582" s="795"/>
      <c r="E7582" s="795"/>
    </row>
    <row r="7583" spans="4:5" hidden="1">
      <c r="D7583" s="795"/>
      <c r="E7583" s="795"/>
    </row>
    <row r="7584" spans="4:5" hidden="1">
      <c r="D7584" s="795"/>
      <c r="E7584" s="795"/>
    </row>
    <row r="7585" spans="4:5" hidden="1">
      <c r="D7585" s="795"/>
      <c r="E7585" s="795"/>
    </row>
    <row r="7586" spans="4:5" hidden="1">
      <c r="D7586" s="795"/>
      <c r="E7586" s="795"/>
    </row>
    <row r="7587" spans="4:5" hidden="1">
      <c r="D7587" s="795"/>
      <c r="E7587" s="795"/>
    </row>
    <row r="7588" spans="4:5" hidden="1">
      <c r="D7588" s="795"/>
      <c r="E7588" s="795"/>
    </row>
    <row r="7589" spans="4:5" hidden="1">
      <c r="D7589" s="795"/>
      <c r="E7589" s="795"/>
    </row>
    <row r="7590" spans="4:5" hidden="1">
      <c r="D7590" s="795"/>
      <c r="E7590" s="795"/>
    </row>
    <row r="7591" spans="4:5" hidden="1">
      <c r="D7591" s="795"/>
      <c r="E7591" s="795"/>
    </row>
    <row r="7592" spans="4:5" hidden="1">
      <c r="D7592" s="795"/>
      <c r="E7592" s="795"/>
    </row>
    <row r="7593" spans="4:5" hidden="1">
      <c r="D7593" s="795"/>
      <c r="E7593" s="795"/>
    </row>
    <row r="7594" spans="4:5" hidden="1">
      <c r="D7594" s="795"/>
      <c r="E7594" s="795"/>
    </row>
    <row r="7595" spans="4:5" hidden="1">
      <c r="D7595" s="795"/>
      <c r="E7595" s="795"/>
    </row>
    <row r="7596" spans="4:5" hidden="1">
      <c r="D7596" s="795"/>
      <c r="E7596" s="795"/>
    </row>
    <row r="7597" spans="4:5" hidden="1">
      <c r="D7597" s="795"/>
      <c r="E7597" s="795"/>
    </row>
    <row r="7598" spans="4:5" hidden="1">
      <c r="D7598" s="795"/>
      <c r="E7598" s="795"/>
    </row>
    <row r="7599" spans="4:5" hidden="1">
      <c r="D7599" s="795"/>
      <c r="E7599" s="795"/>
    </row>
    <row r="7600" spans="4:5" hidden="1">
      <c r="D7600" s="795"/>
      <c r="E7600" s="795"/>
    </row>
    <row r="7601" spans="4:5" hidden="1">
      <c r="D7601" s="795"/>
      <c r="E7601" s="795"/>
    </row>
    <row r="7602" spans="4:5" hidden="1">
      <c r="D7602" s="795"/>
      <c r="E7602" s="795"/>
    </row>
    <row r="7603" spans="4:5" hidden="1">
      <c r="D7603" s="795"/>
      <c r="E7603" s="795"/>
    </row>
    <row r="7604" spans="4:5" hidden="1">
      <c r="D7604" s="795"/>
      <c r="E7604" s="795"/>
    </row>
    <row r="7605" spans="4:5" hidden="1">
      <c r="D7605" s="795"/>
      <c r="E7605" s="795"/>
    </row>
    <row r="7606" spans="4:5" hidden="1">
      <c r="D7606" s="795"/>
      <c r="E7606" s="795"/>
    </row>
    <row r="7607" spans="4:5" hidden="1">
      <c r="D7607" s="795"/>
      <c r="E7607" s="795"/>
    </row>
    <row r="7608" spans="4:5" hidden="1">
      <c r="D7608" s="795"/>
      <c r="E7608" s="795"/>
    </row>
    <row r="7609" spans="4:5" hidden="1">
      <c r="D7609" s="795"/>
      <c r="E7609" s="795"/>
    </row>
    <row r="7610" spans="4:5" hidden="1">
      <c r="D7610" s="795"/>
      <c r="E7610" s="795"/>
    </row>
    <row r="7611" spans="4:5" hidden="1">
      <c r="D7611" s="795"/>
      <c r="E7611" s="795"/>
    </row>
    <row r="7612" spans="4:5" hidden="1">
      <c r="D7612" s="795"/>
      <c r="E7612" s="795"/>
    </row>
    <row r="7613" spans="4:5" hidden="1">
      <c r="D7613" s="795"/>
      <c r="E7613" s="795"/>
    </row>
    <row r="7614" spans="4:5" hidden="1">
      <c r="D7614" s="795"/>
      <c r="E7614" s="795"/>
    </row>
    <row r="7615" spans="4:5" hidden="1">
      <c r="D7615" s="795"/>
      <c r="E7615" s="795"/>
    </row>
    <row r="7616" spans="4:5" hidden="1">
      <c r="D7616" s="795"/>
      <c r="E7616" s="795"/>
    </row>
    <row r="7617" spans="4:5" hidden="1">
      <c r="D7617" s="795"/>
      <c r="E7617" s="795"/>
    </row>
    <row r="7618" spans="4:5" hidden="1">
      <c r="D7618" s="795"/>
      <c r="E7618" s="795"/>
    </row>
    <row r="7619" spans="4:5" hidden="1">
      <c r="D7619" s="795"/>
      <c r="E7619" s="795"/>
    </row>
    <row r="7620" spans="4:5" hidden="1">
      <c r="D7620" s="795"/>
      <c r="E7620" s="795"/>
    </row>
    <row r="7621" spans="4:5" hidden="1">
      <c r="D7621" s="795"/>
      <c r="E7621" s="795"/>
    </row>
    <row r="7622" spans="4:5" hidden="1">
      <c r="D7622" s="795"/>
      <c r="E7622" s="795"/>
    </row>
    <row r="7623" spans="4:5" hidden="1">
      <c r="D7623" s="795"/>
      <c r="E7623" s="795"/>
    </row>
    <row r="7624" spans="4:5" hidden="1">
      <c r="D7624" s="795"/>
      <c r="E7624" s="795"/>
    </row>
    <row r="7625" spans="4:5" hidden="1">
      <c r="D7625" s="795"/>
      <c r="E7625" s="795"/>
    </row>
    <row r="7626" spans="4:5" hidden="1">
      <c r="D7626" s="795"/>
      <c r="E7626" s="795"/>
    </row>
    <row r="7627" spans="4:5" hidden="1">
      <c r="D7627" s="795"/>
      <c r="E7627" s="795"/>
    </row>
    <row r="7628" spans="4:5" hidden="1">
      <c r="D7628" s="795"/>
      <c r="E7628" s="795"/>
    </row>
    <row r="7629" spans="4:5" hidden="1">
      <c r="D7629" s="795"/>
      <c r="E7629" s="795"/>
    </row>
    <row r="7630" spans="4:5" hidden="1">
      <c r="D7630" s="795"/>
      <c r="E7630" s="795"/>
    </row>
    <row r="7631" spans="4:5" hidden="1">
      <c r="D7631" s="795"/>
      <c r="E7631" s="795"/>
    </row>
    <row r="7632" spans="4:5" hidden="1">
      <c r="D7632" s="795"/>
      <c r="E7632" s="795"/>
    </row>
    <row r="7633" spans="4:5" hidden="1">
      <c r="D7633" s="795"/>
      <c r="E7633" s="795"/>
    </row>
    <row r="7634" spans="4:5" hidden="1">
      <c r="D7634" s="795"/>
      <c r="E7634" s="795"/>
    </row>
    <row r="7635" spans="4:5" hidden="1">
      <c r="D7635" s="795"/>
      <c r="E7635" s="795"/>
    </row>
    <row r="7636" spans="4:5" hidden="1">
      <c r="D7636" s="795"/>
      <c r="E7636" s="795"/>
    </row>
    <row r="7637" spans="4:5" hidden="1">
      <c r="D7637" s="795"/>
      <c r="E7637" s="795"/>
    </row>
    <row r="7638" spans="4:5" hidden="1">
      <c r="D7638" s="795"/>
      <c r="E7638" s="795"/>
    </row>
    <row r="7639" spans="4:5" hidden="1">
      <c r="D7639" s="795"/>
      <c r="E7639" s="795"/>
    </row>
    <row r="7640" spans="4:5" hidden="1">
      <c r="D7640" s="795"/>
      <c r="E7640" s="795"/>
    </row>
    <row r="7641" spans="4:5" hidden="1">
      <c r="D7641" s="795"/>
      <c r="E7641" s="795"/>
    </row>
    <row r="7642" spans="4:5" hidden="1">
      <c r="D7642" s="795"/>
      <c r="E7642" s="795"/>
    </row>
    <row r="7643" spans="4:5" hidden="1">
      <c r="D7643" s="795"/>
      <c r="E7643" s="795"/>
    </row>
    <row r="7644" spans="4:5" hidden="1">
      <c r="D7644" s="795"/>
      <c r="E7644" s="795"/>
    </row>
    <row r="7645" spans="4:5" hidden="1">
      <c r="D7645" s="795"/>
      <c r="E7645" s="795"/>
    </row>
    <row r="7646" spans="4:5" hidden="1">
      <c r="D7646" s="795"/>
      <c r="E7646" s="795"/>
    </row>
    <row r="7647" spans="4:5" hidden="1">
      <c r="D7647" s="795"/>
      <c r="E7647" s="795"/>
    </row>
    <row r="7648" spans="4:5" hidden="1">
      <c r="D7648" s="795"/>
      <c r="E7648" s="795"/>
    </row>
    <row r="7649" spans="4:5" hidden="1">
      <c r="D7649" s="795"/>
      <c r="E7649" s="795"/>
    </row>
    <row r="7650" spans="4:5" hidden="1">
      <c r="D7650" s="795"/>
      <c r="E7650" s="795"/>
    </row>
    <row r="7651" spans="4:5" hidden="1">
      <c r="D7651" s="795"/>
      <c r="E7651" s="795"/>
    </row>
    <row r="7652" spans="4:5" hidden="1">
      <c r="D7652" s="795"/>
      <c r="E7652" s="795"/>
    </row>
    <row r="7653" spans="4:5" hidden="1">
      <c r="D7653" s="795"/>
      <c r="E7653" s="795"/>
    </row>
    <row r="7654" spans="4:5" hidden="1">
      <c r="D7654" s="795"/>
      <c r="E7654" s="795"/>
    </row>
    <row r="7655" spans="4:5" hidden="1">
      <c r="D7655" s="795"/>
      <c r="E7655" s="795"/>
    </row>
    <row r="7656" spans="4:5" hidden="1">
      <c r="D7656" s="795"/>
      <c r="E7656" s="795"/>
    </row>
    <row r="7657" spans="4:5" hidden="1">
      <c r="D7657" s="795"/>
      <c r="E7657" s="795"/>
    </row>
    <row r="7658" spans="4:5" hidden="1">
      <c r="D7658" s="795"/>
      <c r="E7658" s="795"/>
    </row>
    <row r="7659" spans="4:5" hidden="1">
      <c r="D7659" s="795"/>
      <c r="E7659" s="795"/>
    </row>
    <row r="7660" spans="4:5" hidden="1">
      <c r="D7660" s="795"/>
      <c r="E7660" s="795"/>
    </row>
    <row r="7661" spans="4:5" hidden="1">
      <c r="D7661" s="795"/>
      <c r="E7661" s="795"/>
    </row>
    <row r="7662" spans="4:5" hidden="1">
      <c r="D7662" s="795"/>
      <c r="E7662" s="795"/>
    </row>
    <row r="7663" spans="4:5" hidden="1">
      <c r="D7663" s="795"/>
      <c r="E7663" s="795"/>
    </row>
    <row r="7664" spans="4:5" hidden="1">
      <c r="D7664" s="795"/>
      <c r="E7664" s="795"/>
    </row>
    <row r="7665" spans="4:5" hidden="1">
      <c r="D7665" s="795"/>
      <c r="E7665" s="795"/>
    </row>
    <row r="7666" spans="4:5" hidden="1">
      <c r="D7666" s="795"/>
      <c r="E7666" s="795"/>
    </row>
    <row r="7667" spans="4:5" hidden="1">
      <c r="D7667" s="795"/>
      <c r="E7667" s="795"/>
    </row>
    <row r="7668" spans="4:5" hidden="1">
      <c r="D7668" s="795"/>
      <c r="E7668" s="795"/>
    </row>
    <row r="7669" spans="4:5" hidden="1">
      <c r="D7669" s="795"/>
      <c r="E7669" s="795"/>
    </row>
    <row r="7670" spans="4:5" hidden="1">
      <c r="D7670" s="795"/>
      <c r="E7670" s="795"/>
    </row>
    <row r="7671" spans="4:5" hidden="1">
      <c r="D7671" s="795"/>
      <c r="E7671" s="795"/>
    </row>
    <row r="7672" spans="4:5" hidden="1">
      <c r="D7672" s="795"/>
      <c r="E7672" s="795"/>
    </row>
    <row r="7673" spans="4:5" hidden="1">
      <c r="D7673" s="795"/>
      <c r="E7673" s="795"/>
    </row>
    <row r="7674" spans="4:5" hidden="1">
      <c r="D7674" s="795"/>
      <c r="E7674" s="795"/>
    </row>
    <row r="7675" spans="4:5" hidden="1">
      <c r="D7675" s="795"/>
      <c r="E7675" s="795"/>
    </row>
    <row r="7676" spans="4:5" hidden="1">
      <c r="D7676" s="795"/>
      <c r="E7676" s="795"/>
    </row>
    <row r="7677" spans="4:5" hidden="1">
      <c r="D7677" s="795"/>
      <c r="E7677" s="795"/>
    </row>
    <row r="7678" spans="4:5" hidden="1">
      <c r="D7678" s="795"/>
      <c r="E7678" s="795"/>
    </row>
    <row r="7679" spans="4:5" hidden="1">
      <c r="D7679" s="795"/>
      <c r="E7679" s="795"/>
    </row>
    <row r="7680" spans="4:5" hidden="1">
      <c r="D7680" s="795"/>
      <c r="E7680" s="795"/>
    </row>
    <row r="7681" spans="4:5" hidden="1">
      <c r="D7681" s="795"/>
      <c r="E7681" s="795"/>
    </row>
    <row r="7682" spans="4:5" hidden="1">
      <c r="D7682" s="795"/>
      <c r="E7682" s="795"/>
    </row>
    <row r="7683" spans="4:5" hidden="1">
      <c r="D7683" s="795"/>
      <c r="E7683" s="795"/>
    </row>
    <row r="7684" spans="4:5" hidden="1">
      <c r="D7684" s="795"/>
      <c r="E7684" s="795"/>
    </row>
    <row r="7685" spans="4:5" hidden="1">
      <c r="D7685" s="795"/>
      <c r="E7685" s="795"/>
    </row>
    <row r="7686" spans="4:5" hidden="1">
      <c r="D7686" s="795"/>
      <c r="E7686" s="795"/>
    </row>
    <row r="7687" spans="4:5" hidden="1">
      <c r="D7687" s="795"/>
      <c r="E7687" s="795"/>
    </row>
    <row r="7688" spans="4:5" hidden="1">
      <c r="D7688" s="795"/>
      <c r="E7688" s="795"/>
    </row>
    <row r="7689" spans="4:5" hidden="1">
      <c r="D7689" s="795"/>
      <c r="E7689" s="795"/>
    </row>
    <row r="7690" spans="4:5" hidden="1">
      <c r="D7690" s="795"/>
      <c r="E7690" s="795"/>
    </row>
    <row r="7691" spans="4:5" hidden="1">
      <c r="D7691" s="795"/>
      <c r="E7691" s="795"/>
    </row>
    <row r="7692" spans="4:5" hidden="1">
      <c r="D7692" s="795"/>
      <c r="E7692" s="795"/>
    </row>
    <row r="7693" spans="4:5" hidden="1">
      <c r="D7693" s="795"/>
      <c r="E7693" s="795"/>
    </row>
    <row r="7694" spans="4:5" hidden="1">
      <c r="D7694" s="795"/>
      <c r="E7694" s="795"/>
    </row>
    <row r="7695" spans="4:5" hidden="1">
      <c r="D7695" s="795"/>
      <c r="E7695" s="795"/>
    </row>
    <row r="7696" spans="4:5" hidden="1">
      <c r="D7696" s="795"/>
      <c r="E7696" s="795"/>
    </row>
    <row r="7697" spans="4:5" hidden="1">
      <c r="D7697" s="795"/>
      <c r="E7697" s="795"/>
    </row>
    <row r="7698" spans="4:5" hidden="1">
      <c r="D7698" s="795"/>
      <c r="E7698" s="795"/>
    </row>
    <row r="7699" spans="4:5" hidden="1">
      <c r="D7699" s="795"/>
      <c r="E7699" s="795"/>
    </row>
    <row r="7700" spans="4:5" hidden="1">
      <c r="D7700" s="795"/>
      <c r="E7700" s="795"/>
    </row>
    <row r="7701" spans="4:5" hidden="1">
      <c r="D7701" s="795"/>
      <c r="E7701" s="795"/>
    </row>
    <row r="7702" spans="4:5" hidden="1">
      <c r="D7702" s="795"/>
      <c r="E7702" s="795"/>
    </row>
    <row r="7703" spans="4:5" hidden="1">
      <c r="D7703" s="795"/>
      <c r="E7703" s="795"/>
    </row>
    <row r="7704" spans="4:5" hidden="1">
      <c r="D7704" s="795"/>
      <c r="E7704" s="795"/>
    </row>
    <row r="7705" spans="4:5" hidden="1">
      <c r="D7705" s="795"/>
      <c r="E7705" s="795"/>
    </row>
    <row r="7706" spans="4:5" hidden="1">
      <c r="D7706" s="795"/>
      <c r="E7706" s="795"/>
    </row>
    <row r="7707" spans="4:5" hidden="1">
      <c r="D7707" s="795"/>
      <c r="E7707" s="795"/>
    </row>
    <row r="7708" spans="4:5" hidden="1">
      <c r="D7708" s="795"/>
      <c r="E7708" s="795"/>
    </row>
    <row r="7709" spans="4:5" hidden="1">
      <c r="D7709" s="795"/>
      <c r="E7709" s="795"/>
    </row>
    <row r="7710" spans="4:5" hidden="1">
      <c r="D7710" s="795"/>
      <c r="E7710" s="795"/>
    </row>
    <row r="7711" spans="4:5" hidden="1">
      <c r="D7711" s="795"/>
      <c r="E7711" s="795"/>
    </row>
    <row r="7712" spans="4:5" hidden="1">
      <c r="D7712" s="795"/>
      <c r="E7712" s="795"/>
    </row>
    <row r="7713" spans="4:5" hidden="1">
      <c r="D7713" s="795"/>
      <c r="E7713" s="795"/>
    </row>
    <row r="7714" spans="4:5" hidden="1">
      <c r="D7714" s="795"/>
      <c r="E7714" s="795"/>
    </row>
    <row r="7715" spans="4:5" hidden="1">
      <c r="D7715" s="795"/>
      <c r="E7715" s="795"/>
    </row>
    <row r="7716" spans="4:5" hidden="1">
      <c r="D7716" s="795"/>
      <c r="E7716" s="795"/>
    </row>
    <row r="7717" spans="4:5" hidden="1">
      <c r="D7717" s="795"/>
      <c r="E7717" s="795"/>
    </row>
    <row r="7718" spans="4:5" hidden="1">
      <c r="D7718" s="795"/>
      <c r="E7718" s="795"/>
    </row>
    <row r="7719" spans="4:5" hidden="1">
      <c r="D7719" s="795"/>
      <c r="E7719" s="795"/>
    </row>
    <row r="7720" spans="4:5" hidden="1">
      <c r="D7720" s="795"/>
      <c r="E7720" s="795"/>
    </row>
    <row r="7721" spans="4:5" hidden="1">
      <c r="D7721" s="795"/>
      <c r="E7721" s="795"/>
    </row>
    <row r="7722" spans="4:5" hidden="1">
      <c r="D7722" s="795"/>
      <c r="E7722" s="795"/>
    </row>
    <row r="7723" spans="4:5" hidden="1">
      <c r="D7723" s="795"/>
      <c r="E7723" s="795"/>
    </row>
    <row r="7724" spans="4:5" hidden="1">
      <c r="D7724" s="795"/>
      <c r="E7724" s="795"/>
    </row>
    <row r="7725" spans="4:5" hidden="1">
      <c r="D7725" s="795"/>
      <c r="E7725" s="795"/>
    </row>
    <row r="7726" spans="4:5" hidden="1">
      <c r="D7726" s="795"/>
      <c r="E7726" s="795"/>
    </row>
    <row r="7727" spans="4:5" hidden="1">
      <c r="D7727" s="795"/>
      <c r="E7727" s="795"/>
    </row>
    <row r="7728" spans="4:5" hidden="1">
      <c r="D7728" s="795"/>
      <c r="E7728" s="795"/>
    </row>
    <row r="7729" spans="4:5" hidden="1">
      <c r="D7729" s="795"/>
      <c r="E7729" s="795"/>
    </row>
    <row r="7730" spans="4:5" hidden="1">
      <c r="D7730" s="795"/>
      <c r="E7730" s="795"/>
    </row>
    <row r="7731" spans="4:5" hidden="1">
      <c r="D7731" s="795"/>
      <c r="E7731" s="795"/>
    </row>
    <row r="7732" spans="4:5" hidden="1">
      <c r="D7732" s="795"/>
      <c r="E7732" s="795"/>
    </row>
    <row r="7733" spans="4:5" hidden="1">
      <c r="D7733" s="795"/>
      <c r="E7733" s="795"/>
    </row>
    <row r="7734" spans="4:5" hidden="1">
      <c r="D7734" s="795"/>
      <c r="E7734" s="795"/>
    </row>
    <row r="7735" spans="4:5" hidden="1">
      <c r="D7735" s="795"/>
      <c r="E7735" s="795"/>
    </row>
    <row r="7736" spans="4:5" hidden="1">
      <c r="D7736" s="795"/>
      <c r="E7736" s="795"/>
    </row>
    <row r="7737" spans="4:5" hidden="1">
      <c r="D7737" s="795"/>
      <c r="E7737" s="795"/>
    </row>
    <row r="7738" spans="4:5" hidden="1">
      <c r="D7738" s="795"/>
      <c r="E7738" s="795"/>
    </row>
    <row r="7739" spans="4:5" hidden="1">
      <c r="D7739" s="795"/>
      <c r="E7739" s="795"/>
    </row>
    <row r="7740" spans="4:5" hidden="1">
      <c r="D7740" s="795"/>
      <c r="E7740" s="795"/>
    </row>
    <row r="7741" spans="4:5" hidden="1">
      <c r="D7741" s="795"/>
      <c r="E7741" s="795"/>
    </row>
    <row r="7742" spans="4:5" hidden="1">
      <c r="D7742" s="795"/>
      <c r="E7742" s="795"/>
    </row>
    <row r="7743" spans="4:5" hidden="1">
      <c r="D7743" s="795"/>
      <c r="E7743" s="795"/>
    </row>
    <row r="7744" spans="4:5" hidden="1">
      <c r="D7744" s="795"/>
      <c r="E7744" s="795"/>
    </row>
    <row r="7745" spans="4:5" hidden="1">
      <c r="D7745" s="795"/>
      <c r="E7745" s="795"/>
    </row>
    <row r="7746" spans="4:5" hidden="1">
      <c r="D7746" s="795"/>
      <c r="E7746" s="795"/>
    </row>
    <row r="7747" spans="4:5" hidden="1">
      <c r="D7747" s="795"/>
      <c r="E7747" s="795"/>
    </row>
    <row r="7748" spans="4:5" hidden="1">
      <c r="D7748" s="795"/>
      <c r="E7748" s="795"/>
    </row>
    <row r="7749" spans="4:5" hidden="1">
      <c r="D7749" s="795"/>
      <c r="E7749" s="795"/>
    </row>
    <row r="7750" spans="4:5" hidden="1">
      <c r="D7750" s="795"/>
      <c r="E7750" s="795"/>
    </row>
    <row r="7751" spans="4:5" hidden="1">
      <c r="D7751" s="795"/>
      <c r="E7751" s="795"/>
    </row>
    <row r="7752" spans="4:5" hidden="1">
      <c r="D7752" s="795"/>
      <c r="E7752" s="795"/>
    </row>
    <row r="7753" spans="4:5" hidden="1">
      <c r="D7753" s="795"/>
      <c r="E7753" s="795"/>
    </row>
    <row r="7754" spans="4:5" hidden="1">
      <c r="D7754" s="795"/>
      <c r="E7754" s="795"/>
    </row>
    <row r="7755" spans="4:5" hidden="1">
      <c r="D7755" s="795"/>
      <c r="E7755" s="795"/>
    </row>
    <row r="7756" spans="4:5" hidden="1">
      <c r="D7756" s="795"/>
      <c r="E7756" s="795"/>
    </row>
    <row r="7757" spans="4:5" hidden="1">
      <c r="D7757" s="795"/>
      <c r="E7757" s="795"/>
    </row>
    <row r="7758" spans="4:5" hidden="1">
      <c r="D7758" s="795"/>
      <c r="E7758" s="795"/>
    </row>
    <row r="7759" spans="4:5" hidden="1">
      <c r="D7759" s="795"/>
      <c r="E7759" s="795"/>
    </row>
    <row r="7760" spans="4:5" hidden="1">
      <c r="D7760" s="795"/>
      <c r="E7760" s="795"/>
    </row>
    <row r="7761" spans="4:5" hidden="1">
      <c r="D7761" s="795"/>
      <c r="E7761" s="795"/>
    </row>
    <row r="7762" spans="4:5" hidden="1">
      <c r="D7762" s="795"/>
      <c r="E7762" s="795"/>
    </row>
    <row r="7763" spans="4:5" hidden="1">
      <c r="D7763" s="795"/>
      <c r="E7763" s="795"/>
    </row>
    <row r="7764" spans="4:5" hidden="1">
      <c r="D7764" s="795"/>
      <c r="E7764" s="795"/>
    </row>
    <row r="7765" spans="4:5" hidden="1">
      <c r="D7765" s="795"/>
      <c r="E7765" s="795"/>
    </row>
    <row r="7766" spans="4:5" hidden="1">
      <c r="D7766" s="795"/>
      <c r="E7766" s="795"/>
    </row>
    <row r="7767" spans="4:5" hidden="1">
      <c r="D7767" s="795"/>
      <c r="E7767" s="795"/>
    </row>
    <row r="7768" spans="4:5" hidden="1">
      <c r="D7768" s="795"/>
      <c r="E7768" s="795"/>
    </row>
    <row r="7769" spans="4:5" hidden="1">
      <c r="D7769" s="795"/>
      <c r="E7769" s="795"/>
    </row>
    <row r="7770" spans="4:5" hidden="1">
      <c r="D7770" s="795"/>
      <c r="E7770" s="795"/>
    </row>
    <row r="7771" spans="4:5" hidden="1">
      <c r="D7771" s="795"/>
      <c r="E7771" s="795"/>
    </row>
    <row r="7772" spans="4:5" hidden="1">
      <c r="D7772" s="795"/>
      <c r="E7772" s="795"/>
    </row>
    <row r="7773" spans="4:5" hidden="1">
      <c r="D7773" s="795"/>
      <c r="E7773" s="795"/>
    </row>
    <row r="7774" spans="4:5" hidden="1">
      <c r="D7774" s="795"/>
      <c r="E7774" s="795"/>
    </row>
    <row r="7775" spans="4:5" hidden="1">
      <c r="D7775" s="795"/>
      <c r="E7775" s="795"/>
    </row>
    <row r="7776" spans="4:5" hidden="1">
      <c r="D7776" s="795"/>
      <c r="E7776" s="795"/>
    </row>
    <row r="7777" spans="4:5" hidden="1">
      <c r="D7777" s="795"/>
      <c r="E7777" s="795"/>
    </row>
    <row r="7778" spans="4:5" hidden="1">
      <c r="D7778" s="795"/>
      <c r="E7778" s="795"/>
    </row>
    <row r="7779" spans="4:5" hidden="1">
      <c r="D7779" s="795"/>
      <c r="E7779" s="795"/>
    </row>
    <row r="7780" spans="4:5" hidden="1">
      <c r="D7780" s="795"/>
      <c r="E7780" s="795"/>
    </row>
    <row r="7781" spans="4:5" hidden="1">
      <c r="D7781" s="795"/>
      <c r="E7781" s="795"/>
    </row>
    <row r="7782" spans="4:5" hidden="1">
      <c r="D7782" s="795"/>
      <c r="E7782" s="795"/>
    </row>
    <row r="7783" spans="4:5" hidden="1">
      <c r="D7783" s="795"/>
      <c r="E7783" s="795"/>
    </row>
    <row r="7784" spans="4:5" hidden="1">
      <c r="D7784" s="795"/>
      <c r="E7784" s="795"/>
    </row>
    <row r="7785" spans="4:5" hidden="1">
      <c r="D7785" s="795"/>
      <c r="E7785" s="795"/>
    </row>
    <row r="7786" spans="4:5" hidden="1">
      <c r="D7786" s="795"/>
      <c r="E7786" s="795"/>
    </row>
    <row r="7787" spans="4:5" hidden="1">
      <c r="D7787" s="795"/>
      <c r="E7787" s="795"/>
    </row>
    <row r="7788" spans="4:5" hidden="1">
      <c r="D7788" s="795"/>
      <c r="E7788" s="795"/>
    </row>
    <row r="7789" spans="4:5" hidden="1">
      <c r="D7789" s="795"/>
      <c r="E7789" s="795"/>
    </row>
    <row r="7790" spans="4:5" hidden="1">
      <c r="D7790" s="795"/>
      <c r="E7790" s="795"/>
    </row>
    <row r="7791" spans="4:5" hidden="1">
      <c r="D7791" s="795"/>
      <c r="E7791" s="795"/>
    </row>
    <row r="7792" spans="4:5" hidden="1">
      <c r="D7792" s="795"/>
      <c r="E7792" s="795"/>
    </row>
    <row r="7793" spans="4:5" hidden="1">
      <c r="D7793" s="795"/>
      <c r="E7793" s="795"/>
    </row>
    <row r="7794" spans="4:5" hidden="1">
      <c r="D7794" s="795"/>
      <c r="E7794" s="795"/>
    </row>
    <row r="7795" spans="4:5" hidden="1">
      <c r="D7795" s="795"/>
      <c r="E7795" s="795"/>
    </row>
    <row r="7796" spans="4:5" hidden="1">
      <c r="D7796" s="795"/>
      <c r="E7796" s="795"/>
    </row>
    <row r="7797" spans="4:5" hidden="1">
      <c r="D7797" s="795"/>
      <c r="E7797" s="795"/>
    </row>
    <row r="7798" spans="4:5" hidden="1">
      <c r="D7798" s="795"/>
      <c r="E7798" s="795"/>
    </row>
    <row r="7799" spans="4:5" hidden="1">
      <c r="D7799" s="795"/>
      <c r="E7799" s="795"/>
    </row>
    <row r="7800" spans="4:5" hidden="1">
      <c r="D7800" s="795"/>
      <c r="E7800" s="795"/>
    </row>
    <row r="7801" spans="4:5" hidden="1">
      <c r="D7801" s="795"/>
      <c r="E7801" s="795"/>
    </row>
    <row r="7802" spans="4:5" hidden="1">
      <c r="D7802" s="795"/>
      <c r="E7802" s="795"/>
    </row>
    <row r="7803" spans="4:5" hidden="1">
      <c r="D7803" s="795"/>
      <c r="E7803" s="795"/>
    </row>
    <row r="7804" spans="4:5" hidden="1">
      <c r="D7804" s="795"/>
      <c r="E7804" s="795"/>
    </row>
    <row r="7805" spans="4:5" hidden="1">
      <c r="D7805" s="795"/>
      <c r="E7805" s="795"/>
    </row>
    <row r="7806" spans="4:5" hidden="1">
      <c r="D7806" s="795"/>
      <c r="E7806" s="795"/>
    </row>
    <row r="7807" spans="4:5" hidden="1">
      <c r="D7807" s="795"/>
      <c r="E7807" s="795"/>
    </row>
    <row r="7808" spans="4:5" hidden="1">
      <c r="D7808" s="795"/>
      <c r="E7808" s="795"/>
    </row>
    <row r="7809" spans="4:5" hidden="1">
      <c r="D7809" s="795"/>
      <c r="E7809" s="795"/>
    </row>
    <row r="7810" spans="4:5" hidden="1">
      <c r="D7810" s="795"/>
      <c r="E7810" s="795"/>
    </row>
    <row r="7811" spans="4:5" hidden="1">
      <c r="D7811" s="795"/>
      <c r="E7811" s="795"/>
    </row>
    <row r="7812" spans="4:5" hidden="1">
      <c r="D7812" s="795"/>
      <c r="E7812" s="795"/>
    </row>
    <row r="7813" spans="4:5" hidden="1">
      <c r="D7813" s="795"/>
      <c r="E7813" s="795"/>
    </row>
    <row r="7814" spans="4:5" hidden="1">
      <c r="D7814" s="795"/>
      <c r="E7814" s="795"/>
    </row>
    <row r="7815" spans="4:5" hidden="1">
      <c r="D7815" s="795"/>
      <c r="E7815" s="795"/>
    </row>
    <row r="7816" spans="4:5" hidden="1">
      <c r="D7816" s="795"/>
      <c r="E7816" s="795"/>
    </row>
    <row r="7817" spans="4:5" hidden="1">
      <c r="D7817" s="795"/>
      <c r="E7817" s="795"/>
    </row>
    <row r="7818" spans="4:5" hidden="1">
      <c r="D7818" s="795"/>
      <c r="E7818" s="795"/>
    </row>
    <row r="7819" spans="4:5" hidden="1">
      <c r="D7819" s="795"/>
      <c r="E7819" s="795"/>
    </row>
    <row r="7820" spans="4:5" hidden="1">
      <c r="D7820" s="795"/>
      <c r="E7820" s="795"/>
    </row>
    <row r="7821" spans="4:5" hidden="1">
      <c r="D7821" s="795"/>
      <c r="E7821" s="795"/>
    </row>
    <row r="7822" spans="4:5" hidden="1">
      <c r="D7822" s="795"/>
      <c r="E7822" s="795"/>
    </row>
    <row r="7823" spans="4:5" hidden="1">
      <c r="D7823" s="795"/>
      <c r="E7823" s="795"/>
    </row>
    <row r="7824" spans="4:5" hidden="1">
      <c r="D7824" s="795"/>
      <c r="E7824" s="795"/>
    </row>
    <row r="7825" spans="4:5" hidden="1">
      <c r="D7825" s="795"/>
      <c r="E7825" s="795"/>
    </row>
    <row r="7826" spans="4:5" hidden="1">
      <c r="D7826" s="795"/>
      <c r="E7826" s="795"/>
    </row>
    <row r="7827" spans="4:5" hidden="1">
      <c r="D7827" s="795"/>
      <c r="E7827" s="795"/>
    </row>
    <row r="7828" spans="4:5" hidden="1">
      <c r="D7828" s="795"/>
      <c r="E7828" s="795"/>
    </row>
    <row r="7829" spans="4:5" hidden="1">
      <c r="D7829" s="795"/>
      <c r="E7829" s="795"/>
    </row>
    <row r="7830" spans="4:5" hidden="1">
      <c r="D7830" s="795"/>
      <c r="E7830" s="795"/>
    </row>
    <row r="7831" spans="4:5" hidden="1">
      <c r="D7831" s="795"/>
      <c r="E7831" s="795"/>
    </row>
    <row r="7832" spans="4:5" hidden="1">
      <c r="D7832" s="795"/>
      <c r="E7832" s="795"/>
    </row>
    <row r="7833" spans="4:5" hidden="1">
      <c r="D7833" s="795"/>
      <c r="E7833" s="795"/>
    </row>
    <row r="7834" spans="4:5" hidden="1">
      <c r="D7834" s="795"/>
      <c r="E7834" s="795"/>
    </row>
    <row r="7835" spans="4:5" hidden="1">
      <c r="D7835" s="795"/>
      <c r="E7835" s="795"/>
    </row>
    <row r="7836" spans="4:5" hidden="1">
      <c r="D7836" s="795"/>
      <c r="E7836" s="795"/>
    </row>
    <row r="7837" spans="4:5" hidden="1">
      <c r="D7837" s="795"/>
      <c r="E7837" s="795"/>
    </row>
    <row r="7838" spans="4:5" hidden="1">
      <c r="D7838" s="795"/>
      <c r="E7838" s="795"/>
    </row>
    <row r="7839" spans="4:5" hidden="1">
      <c r="D7839" s="795"/>
      <c r="E7839" s="795"/>
    </row>
    <row r="7840" spans="4:5" hidden="1">
      <c r="D7840" s="795"/>
      <c r="E7840" s="795"/>
    </row>
    <row r="7841" spans="4:5" hidden="1">
      <c r="D7841" s="795"/>
      <c r="E7841" s="795"/>
    </row>
    <row r="7842" spans="4:5" hidden="1">
      <c r="D7842" s="795"/>
      <c r="E7842" s="795"/>
    </row>
    <row r="7843" spans="4:5" hidden="1">
      <c r="D7843" s="795"/>
      <c r="E7843" s="795"/>
    </row>
    <row r="7844" spans="4:5" hidden="1">
      <c r="D7844" s="795"/>
      <c r="E7844" s="795"/>
    </row>
    <row r="7845" spans="4:5" hidden="1">
      <c r="D7845" s="795"/>
      <c r="E7845" s="795"/>
    </row>
    <row r="7846" spans="4:5" hidden="1">
      <c r="D7846" s="795"/>
      <c r="E7846" s="795"/>
    </row>
    <row r="7847" spans="4:5" hidden="1">
      <c r="D7847" s="795"/>
      <c r="E7847" s="795"/>
    </row>
    <row r="7848" spans="4:5" hidden="1">
      <c r="D7848" s="795"/>
      <c r="E7848" s="795"/>
    </row>
    <row r="7849" spans="4:5" hidden="1">
      <c r="D7849" s="795"/>
      <c r="E7849" s="795"/>
    </row>
    <row r="7850" spans="4:5" hidden="1">
      <c r="D7850" s="795"/>
      <c r="E7850" s="795"/>
    </row>
    <row r="7851" spans="4:5" hidden="1">
      <c r="D7851" s="795"/>
      <c r="E7851" s="795"/>
    </row>
    <row r="7852" spans="4:5" hidden="1">
      <c r="D7852" s="795"/>
      <c r="E7852" s="795"/>
    </row>
    <row r="7853" spans="4:5" hidden="1">
      <c r="D7853" s="795"/>
      <c r="E7853" s="795"/>
    </row>
    <row r="7854" spans="4:5" hidden="1">
      <c r="D7854" s="795"/>
      <c r="E7854" s="795"/>
    </row>
    <row r="7855" spans="4:5" hidden="1">
      <c r="D7855" s="795"/>
      <c r="E7855" s="795"/>
    </row>
    <row r="7856" spans="4:5" hidden="1">
      <c r="D7856" s="795"/>
      <c r="E7856" s="795"/>
    </row>
    <row r="7857" spans="4:5" hidden="1">
      <c r="D7857" s="795"/>
      <c r="E7857" s="795"/>
    </row>
    <row r="7858" spans="4:5" hidden="1">
      <c r="D7858" s="795"/>
      <c r="E7858" s="795"/>
    </row>
    <row r="7859" spans="4:5" hidden="1">
      <c r="D7859" s="795"/>
      <c r="E7859" s="795"/>
    </row>
    <row r="7860" spans="4:5" hidden="1">
      <c r="D7860" s="795"/>
      <c r="E7860" s="795"/>
    </row>
    <row r="7861" spans="4:5" hidden="1">
      <c r="D7861" s="795"/>
      <c r="E7861" s="795"/>
    </row>
    <row r="7862" spans="4:5" hidden="1">
      <c r="D7862" s="795"/>
      <c r="E7862" s="795"/>
    </row>
    <row r="7863" spans="4:5" hidden="1">
      <c r="D7863" s="795"/>
      <c r="E7863" s="795"/>
    </row>
    <row r="7864" spans="4:5" hidden="1">
      <c r="D7864" s="795"/>
      <c r="E7864" s="795"/>
    </row>
    <row r="7865" spans="4:5" hidden="1">
      <c r="D7865" s="795"/>
      <c r="E7865" s="795"/>
    </row>
    <row r="7866" spans="4:5" hidden="1">
      <c r="D7866" s="795"/>
      <c r="E7866" s="795"/>
    </row>
    <row r="7867" spans="4:5" hidden="1">
      <c r="D7867" s="795"/>
      <c r="E7867" s="795"/>
    </row>
    <row r="7868" spans="4:5" hidden="1">
      <c r="D7868" s="795"/>
      <c r="E7868" s="795"/>
    </row>
    <row r="7869" spans="4:5" hidden="1">
      <c r="D7869" s="795"/>
      <c r="E7869" s="795"/>
    </row>
    <row r="7870" spans="4:5" hidden="1">
      <c r="D7870" s="795"/>
      <c r="E7870" s="795"/>
    </row>
    <row r="7871" spans="4:5" hidden="1">
      <c r="D7871" s="795"/>
      <c r="E7871" s="795"/>
    </row>
    <row r="7872" spans="4:5" hidden="1">
      <c r="D7872" s="795"/>
      <c r="E7872" s="795"/>
    </row>
    <row r="7873" spans="4:5" hidden="1">
      <c r="D7873" s="795"/>
      <c r="E7873" s="795"/>
    </row>
    <row r="7874" spans="4:5" hidden="1">
      <c r="D7874" s="795"/>
      <c r="E7874" s="795"/>
    </row>
    <row r="7875" spans="4:5" hidden="1">
      <c r="D7875" s="795"/>
      <c r="E7875" s="795"/>
    </row>
    <row r="7876" spans="4:5" hidden="1">
      <c r="D7876" s="795"/>
      <c r="E7876" s="795"/>
    </row>
    <row r="7877" spans="4:5" hidden="1">
      <c r="D7877" s="795"/>
      <c r="E7877" s="795"/>
    </row>
    <row r="7878" spans="4:5" hidden="1">
      <c r="D7878" s="795"/>
      <c r="E7878" s="795"/>
    </row>
    <row r="7879" spans="4:5" hidden="1">
      <c r="D7879" s="795"/>
      <c r="E7879" s="795"/>
    </row>
    <row r="7880" spans="4:5" hidden="1">
      <c r="D7880" s="795"/>
      <c r="E7880" s="795"/>
    </row>
    <row r="7881" spans="4:5" hidden="1">
      <c r="D7881" s="795"/>
      <c r="E7881" s="795"/>
    </row>
    <row r="7882" spans="4:5" hidden="1">
      <c r="D7882" s="795"/>
      <c r="E7882" s="795"/>
    </row>
    <row r="7883" spans="4:5" hidden="1">
      <c r="D7883" s="795"/>
      <c r="E7883" s="795"/>
    </row>
    <row r="7884" spans="4:5" hidden="1">
      <c r="D7884" s="795"/>
      <c r="E7884" s="795"/>
    </row>
    <row r="7885" spans="4:5" hidden="1">
      <c r="D7885" s="795"/>
      <c r="E7885" s="795"/>
    </row>
    <row r="7886" spans="4:5" hidden="1">
      <c r="D7886" s="795"/>
      <c r="E7886" s="795"/>
    </row>
    <row r="7887" spans="4:5" hidden="1">
      <c r="D7887" s="795"/>
      <c r="E7887" s="795"/>
    </row>
    <row r="7888" spans="4:5" hidden="1">
      <c r="D7888" s="795"/>
      <c r="E7888" s="795"/>
    </row>
    <row r="7889" spans="4:5" hidden="1">
      <c r="D7889" s="795"/>
      <c r="E7889" s="795"/>
    </row>
    <row r="7890" spans="4:5" hidden="1">
      <c r="D7890" s="795"/>
      <c r="E7890" s="795"/>
    </row>
    <row r="7891" spans="4:5" hidden="1">
      <c r="D7891" s="795"/>
      <c r="E7891" s="795"/>
    </row>
    <row r="7892" spans="4:5" hidden="1">
      <c r="D7892" s="795"/>
      <c r="E7892" s="795"/>
    </row>
    <row r="7893" spans="4:5" hidden="1">
      <c r="D7893" s="795"/>
      <c r="E7893" s="795"/>
    </row>
    <row r="7894" spans="4:5" hidden="1">
      <c r="D7894" s="795"/>
      <c r="E7894" s="795"/>
    </row>
    <row r="7895" spans="4:5" hidden="1">
      <c r="D7895" s="795"/>
      <c r="E7895" s="795"/>
    </row>
    <row r="7896" spans="4:5" hidden="1">
      <c r="D7896" s="795"/>
      <c r="E7896" s="795"/>
    </row>
    <row r="7897" spans="4:5" hidden="1">
      <c r="D7897" s="795"/>
      <c r="E7897" s="795"/>
    </row>
    <row r="7898" spans="4:5" hidden="1">
      <c r="D7898" s="795"/>
      <c r="E7898" s="795"/>
    </row>
    <row r="7899" spans="4:5" hidden="1">
      <c r="D7899" s="795"/>
      <c r="E7899" s="795"/>
    </row>
    <row r="7900" spans="4:5" hidden="1">
      <c r="D7900" s="795"/>
      <c r="E7900" s="795"/>
    </row>
    <row r="7901" spans="4:5" hidden="1">
      <c r="D7901" s="795"/>
      <c r="E7901" s="795"/>
    </row>
    <row r="7902" spans="4:5" hidden="1">
      <c r="D7902" s="795"/>
      <c r="E7902" s="795"/>
    </row>
    <row r="7903" spans="4:5" hidden="1">
      <c r="D7903" s="795"/>
      <c r="E7903" s="795"/>
    </row>
    <row r="7904" spans="4:5" hidden="1">
      <c r="D7904" s="795"/>
      <c r="E7904" s="795"/>
    </row>
    <row r="7905" spans="4:5" hidden="1">
      <c r="D7905" s="795"/>
      <c r="E7905" s="795"/>
    </row>
    <row r="7906" spans="4:5" hidden="1">
      <c r="D7906" s="795"/>
      <c r="E7906" s="795"/>
    </row>
    <row r="7907" spans="4:5" hidden="1">
      <c r="D7907" s="795"/>
      <c r="E7907" s="795"/>
    </row>
    <row r="7908" spans="4:5" hidden="1">
      <c r="D7908" s="795"/>
      <c r="E7908" s="795"/>
    </row>
    <row r="7909" spans="4:5" hidden="1">
      <c r="D7909" s="795"/>
      <c r="E7909" s="795"/>
    </row>
    <row r="7910" spans="4:5" hidden="1">
      <c r="D7910" s="795"/>
      <c r="E7910" s="795"/>
    </row>
    <row r="7911" spans="4:5" hidden="1">
      <c r="D7911" s="795"/>
      <c r="E7911" s="795"/>
    </row>
    <row r="7912" spans="4:5" hidden="1">
      <c r="D7912" s="795"/>
      <c r="E7912" s="795"/>
    </row>
    <row r="7913" spans="4:5" hidden="1">
      <c r="D7913" s="795"/>
      <c r="E7913" s="795"/>
    </row>
    <row r="7914" spans="4:5" hidden="1">
      <c r="D7914" s="795"/>
      <c r="E7914" s="795"/>
    </row>
    <row r="7915" spans="4:5" hidden="1">
      <c r="D7915" s="795"/>
      <c r="E7915" s="795"/>
    </row>
    <row r="7916" spans="4:5" hidden="1">
      <c r="D7916" s="795"/>
      <c r="E7916" s="795"/>
    </row>
    <row r="7917" spans="4:5" hidden="1">
      <c r="D7917" s="795"/>
      <c r="E7917" s="795"/>
    </row>
    <row r="7918" spans="4:5" hidden="1">
      <c r="D7918" s="795"/>
      <c r="E7918" s="795"/>
    </row>
    <row r="7919" spans="4:5" hidden="1">
      <c r="D7919" s="795"/>
      <c r="E7919" s="795"/>
    </row>
    <row r="7920" spans="4:5" hidden="1">
      <c r="D7920" s="795"/>
      <c r="E7920" s="795"/>
    </row>
    <row r="7921" spans="4:5" hidden="1">
      <c r="D7921" s="795"/>
      <c r="E7921" s="795"/>
    </row>
    <row r="7922" spans="4:5" hidden="1">
      <c r="D7922" s="795"/>
      <c r="E7922" s="795"/>
    </row>
    <row r="7923" spans="4:5" hidden="1">
      <c r="D7923" s="795"/>
      <c r="E7923" s="795"/>
    </row>
    <row r="7924" spans="4:5" hidden="1">
      <c r="D7924" s="795"/>
      <c r="E7924" s="795"/>
    </row>
    <row r="7925" spans="4:5" hidden="1">
      <c r="D7925" s="795"/>
      <c r="E7925" s="795"/>
    </row>
    <row r="7926" spans="4:5" hidden="1">
      <c r="D7926" s="795"/>
      <c r="E7926" s="795"/>
    </row>
    <row r="7927" spans="4:5" hidden="1">
      <c r="D7927" s="795"/>
      <c r="E7927" s="795"/>
    </row>
    <row r="7928" spans="4:5" hidden="1">
      <c r="D7928" s="795"/>
      <c r="E7928" s="795"/>
    </row>
    <row r="7929" spans="4:5" hidden="1">
      <c r="D7929" s="795"/>
      <c r="E7929" s="795"/>
    </row>
    <row r="7930" spans="4:5" hidden="1">
      <c r="D7930" s="795"/>
      <c r="E7930" s="795"/>
    </row>
    <row r="7931" spans="4:5" hidden="1">
      <c r="D7931" s="795"/>
      <c r="E7931" s="795"/>
    </row>
    <row r="7932" spans="4:5" hidden="1">
      <c r="D7932" s="795"/>
      <c r="E7932" s="795"/>
    </row>
    <row r="7933" spans="4:5" hidden="1">
      <c r="D7933" s="795"/>
      <c r="E7933" s="795"/>
    </row>
    <row r="7934" spans="4:5" hidden="1">
      <c r="D7934" s="795"/>
      <c r="E7934" s="795"/>
    </row>
    <row r="7935" spans="4:5" hidden="1">
      <c r="D7935" s="795"/>
      <c r="E7935" s="795"/>
    </row>
    <row r="7936" spans="4:5" hidden="1">
      <c r="D7936" s="795"/>
      <c r="E7936" s="795"/>
    </row>
    <row r="7937" spans="4:5" hidden="1">
      <c r="D7937" s="795"/>
      <c r="E7937" s="795"/>
    </row>
    <row r="7938" spans="4:5" hidden="1">
      <c r="D7938" s="795"/>
      <c r="E7938" s="795"/>
    </row>
    <row r="7939" spans="4:5" hidden="1">
      <c r="D7939" s="795"/>
      <c r="E7939" s="795"/>
    </row>
    <row r="7940" spans="4:5" hidden="1">
      <c r="D7940" s="795"/>
      <c r="E7940" s="795"/>
    </row>
    <row r="7941" spans="4:5" hidden="1">
      <c r="D7941" s="795"/>
      <c r="E7941" s="795"/>
    </row>
    <row r="7942" spans="4:5" hidden="1">
      <c r="D7942" s="795"/>
      <c r="E7942" s="795"/>
    </row>
    <row r="7943" spans="4:5" hidden="1">
      <c r="D7943" s="795"/>
      <c r="E7943" s="795"/>
    </row>
    <row r="7944" spans="4:5" hidden="1">
      <c r="D7944" s="795"/>
      <c r="E7944" s="795"/>
    </row>
    <row r="7945" spans="4:5" hidden="1">
      <c r="D7945" s="795"/>
      <c r="E7945" s="795"/>
    </row>
    <row r="7946" spans="4:5" hidden="1">
      <c r="D7946" s="795"/>
      <c r="E7946" s="795"/>
    </row>
    <row r="7947" spans="4:5" hidden="1">
      <c r="D7947" s="795"/>
      <c r="E7947" s="795"/>
    </row>
    <row r="7948" spans="4:5" hidden="1">
      <c r="D7948" s="795"/>
      <c r="E7948" s="795"/>
    </row>
    <row r="7949" spans="4:5" hidden="1">
      <c r="D7949" s="795"/>
      <c r="E7949" s="795"/>
    </row>
    <row r="7950" spans="4:5" hidden="1">
      <c r="D7950" s="795"/>
      <c r="E7950" s="795"/>
    </row>
    <row r="7951" spans="4:5" hidden="1">
      <c r="D7951" s="795"/>
      <c r="E7951" s="795"/>
    </row>
    <row r="7952" spans="4:5" hidden="1">
      <c r="D7952" s="795"/>
      <c r="E7952" s="795"/>
    </row>
    <row r="7953" spans="4:5" hidden="1">
      <c r="D7953" s="795"/>
      <c r="E7953" s="795"/>
    </row>
    <row r="7954" spans="4:5" hidden="1">
      <c r="D7954" s="795"/>
      <c r="E7954" s="795"/>
    </row>
    <row r="7955" spans="4:5" hidden="1">
      <c r="D7955" s="795"/>
      <c r="E7955" s="795"/>
    </row>
    <row r="7956" spans="4:5" hidden="1">
      <c r="D7956" s="795"/>
      <c r="E7956" s="795"/>
    </row>
    <row r="7957" spans="4:5" hidden="1">
      <c r="D7957" s="795"/>
      <c r="E7957" s="795"/>
    </row>
    <row r="7958" spans="4:5" hidden="1">
      <c r="D7958" s="795"/>
      <c r="E7958" s="795"/>
    </row>
    <row r="7959" spans="4:5" hidden="1">
      <c r="D7959" s="795"/>
      <c r="E7959" s="795"/>
    </row>
    <row r="7960" spans="4:5" hidden="1">
      <c r="D7960" s="795"/>
      <c r="E7960" s="795"/>
    </row>
    <row r="7961" spans="4:5" hidden="1">
      <c r="D7961" s="795"/>
      <c r="E7961" s="795"/>
    </row>
    <row r="7962" spans="4:5" hidden="1">
      <c r="D7962" s="795"/>
      <c r="E7962" s="795"/>
    </row>
    <row r="7963" spans="4:5" hidden="1">
      <c r="D7963" s="795"/>
      <c r="E7963" s="795"/>
    </row>
    <row r="7964" spans="4:5" hidden="1">
      <c r="D7964" s="795"/>
      <c r="E7964" s="795"/>
    </row>
    <row r="7965" spans="4:5" hidden="1">
      <c r="D7965" s="795"/>
      <c r="E7965" s="795"/>
    </row>
    <row r="7966" spans="4:5" hidden="1">
      <c r="D7966" s="795"/>
      <c r="E7966" s="795"/>
    </row>
    <row r="7967" spans="4:5" hidden="1">
      <c r="D7967" s="795"/>
      <c r="E7967" s="795"/>
    </row>
    <row r="7968" spans="4:5" hidden="1">
      <c r="D7968" s="795"/>
      <c r="E7968" s="795"/>
    </row>
    <row r="7969" spans="4:5" hidden="1">
      <c r="D7969" s="795"/>
      <c r="E7969" s="795"/>
    </row>
    <row r="7970" spans="4:5" hidden="1">
      <c r="D7970" s="795"/>
      <c r="E7970" s="795"/>
    </row>
    <row r="7971" spans="4:5" hidden="1">
      <c r="D7971" s="795"/>
      <c r="E7971" s="795"/>
    </row>
    <row r="7972" spans="4:5" hidden="1">
      <c r="D7972" s="795"/>
      <c r="E7972" s="795"/>
    </row>
    <row r="7973" spans="4:5" hidden="1">
      <c r="D7973" s="795"/>
      <c r="E7973" s="795"/>
    </row>
    <row r="7974" spans="4:5" hidden="1">
      <c r="D7974" s="795"/>
      <c r="E7974" s="795"/>
    </row>
    <row r="7975" spans="4:5" hidden="1">
      <c r="D7975" s="795"/>
      <c r="E7975" s="795"/>
    </row>
    <row r="7976" spans="4:5" hidden="1">
      <c r="D7976" s="795"/>
      <c r="E7976" s="795"/>
    </row>
    <row r="7977" spans="4:5" hidden="1">
      <c r="D7977" s="795"/>
      <c r="E7977" s="795"/>
    </row>
    <row r="7978" spans="4:5" hidden="1">
      <c r="D7978" s="795"/>
      <c r="E7978" s="795"/>
    </row>
    <row r="7979" spans="4:5" hidden="1">
      <c r="D7979" s="795"/>
      <c r="E7979" s="795"/>
    </row>
    <row r="7980" spans="4:5" hidden="1">
      <c r="D7980" s="795"/>
      <c r="E7980" s="795"/>
    </row>
    <row r="7981" spans="4:5" hidden="1">
      <c r="D7981" s="795"/>
      <c r="E7981" s="795"/>
    </row>
    <row r="7982" spans="4:5" hidden="1">
      <c r="D7982" s="795"/>
      <c r="E7982" s="795"/>
    </row>
    <row r="7983" spans="4:5" hidden="1">
      <c r="D7983" s="795"/>
      <c r="E7983" s="795"/>
    </row>
    <row r="7984" spans="4:5" hidden="1">
      <c r="D7984" s="795"/>
      <c r="E7984" s="795"/>
    </row>
    <row r="7985" spans="4:5" hidden="1">
      <c r="D7985" s="795"/>
      <c r="E7985" s="795"/>
    </row>
    <row r="7986" spans="4:5" hidden="1">
      <c r="D7986" s="795"/>
      <c r="E7986" s="795"/>
    </row>
    <row r="7987" spans="4:5" hidden="1">
      <c r="D7987" s="795"/>
      <c r="E7987" s="795"/>
    </row>
    <row r="7988" spans="4:5" hidden="1">
      <c r="D7988" s="795"/>
      <c r="E7988" s="795"/>
    </row>
    <row r="7989" spans="4:5" hidden="1">
      <c r="D7989" s="795"/>
      <c r="E7989" s="795"/>
    </row>
    <row r="7990" spans="4:5" hidden="1">
      <c r="D7990" s="795"/>
      <c r="E7990" s="795"/>
    </row>
    <row r="7991" spans="4:5" hidden="1">
      <c r="D7991" s="795"/>
      <c r="E7991" s="795"/>
    </row>
    <row r="7992" spans="4:5" hidden="1">
      <c r="D7992" s="795"/>
      <c r="E7992" s="795"/>
    </row>
    <row r="7993" spans="4:5" hidden="1">
      <c r="D7993" s="795"/>
      <c r="E7993" s="795"/>
    </row>
    <row r="7994" spans="4:5" hidden="1">
      <c r="D7994" s="795"/>
      <c r="E7994" s="795"/>
    </row>
    <row r="7995" spans="4:5" hidden="1">
      <c r="D7995" s="795"/>
      <c r="E7995" s="795"/>
    </row>
    <row r="7996" spans="4:5" hidden="1">
      <c r="D7996" s="795"/>
      <c r="E7996" s="795"/>
    </row>
    <row r="7997" spans="4:5" hidden="1">
      <c r="D7997" s="795"/>
      <c r="E7997" s="795"/>
    </row>
    <row r="7998" spans="4:5" hidden="1">
      <c r="D7998" s="795"/>
      <c r="E7998" s="795"/>
    </row>
    <row r="7999" spans="4:5" hidden="1">
      <c r="D7999" s="795"/>
      <c r="E7999" s="795"/>
    </row>
    <row r="8000" spans="4:5" hidden="1">
      <c r="D8000" s="795"/>
      <c r="E8000" s="795"/>
    </row>
    <row r="8001" spans="4:5" hidden="1">
      <c r="D8001" s="795"/>
      <c r="E8001" s="795"/>
    </row>
    <row r="8002" spans="4:5" hidden="1">
      <c r="D8002" s="795"/>
      <c r="E8002" s="795"/>
    </row>
    <row r="8003" spans="4:5" hidden="1">
      <c r="D8003" s="795"/>
      <c r="E8003" s="795"/>
    </row>
    <row r="8004" spans="4:5" hidden="1">
      <c r="D8004" s="795"/>
      <c r="E8004" s="795"/>
    </row>
    <row r="8005" spans="4:5" hidden="1">
      <c r="D8005" s="795"/>
      <c r="E8005" s="795"/>
    </row>
    <row r="8006" spans="4:5" hidden="1">
      <c r="D8006" s="795"/>
      <c r="E8006" s="795"/>
    </row>
    <row r="8007" spans="4:5" hidden="1">
      <c r="D8007" s="795"/>
      <c r="E8007" s="795"/>
    </row>
    <row r="8008" spans="4:5" hidden="1">
      <c r="D8008" s="795"/>
      <c r="E8008" s="795"/>
    </row>
    <row r="8009" spans="4:5" hidden="1">
      <c r="D8009" s="795"/>
      <c r="E8009" s="795"/>
    </row>
    <row r="8010" spans="4:5" hidden="1">
      <c r="D8010" s="795"/>
      <c r="E8010" s="795"/>
    </row>
    <row r="8011" spans="4:5" hidden="1">
      <c r="D8011" s="795"/>
      <c r="E8011" s="795"/>
    </row>
    <row r="8012" spans="4:5" hidden="1">
      <c r="D8012" s="795"/>
      <c r="E8012" s="795"/>
    </row>
    <row r="8013" spans="4:5" hidden="1">
      <c r="D8013" s="795"/>
      <c r="E8013" s="795"/>
    </row>
    <row r="8014" spans="4:5" hidden="1">
      <c r="D8014" s="795"/>
      <c r="E8014" s="795"/>
    </row>
    <row r="8015" spans="4:5" hidden="1">
      <c r="D8015" s="795"/>
      <c r="E8015" s="795"/>
    </row>
    <row r="8016" spans="4:5" hidden="1">
      <c r="D8016" s="795"/>
      <c r="E8016" s="795"/>
    </row>
    <row r="8017" spans="4:5" hidden="1">
      <c r="D8017" s="795"/>
      <c r="E8017" s="795"/>
    </row>
    <row r="8018" spans="4:5" hidden="1">
      <c r="D8018" s="795"/>
      <c r="E8018" s="795"/>
    </row>
    <row r="8019" spans="4:5" hidden="1">
      <c r="D8019" s="795"/>
      <c r="E8019" s="795"/>
    </row>
    <row r="8020" spans="4:5" hidden="1">
      <c r="D8020" s="795"/>
      <c r="E8020" s="795"/>
    </row>
    <row r="8021" spans="4:5" hidden="1">
      <c r="D8021" s="795"/>
      <c r="E8021" s="795"/>
    </row>
    <row r="8022" spans="4:5" hidden="1">
      <c r="D8022" s="795"/>
      <c r="E8022" s="795"/>
    </row>
    <row r="8023" spans="4:5" hidden="1">
      <c r="D8023" s="795"/>
      <c r="E8023" s="795"/>
    </row>
    <row r="8024" spans="4:5" hidden="1">
      <c r="D8024" s="795"/>
      <c r="E8024" s="795"/>
    </row>
    <row r="8025" spans="4:5" hidden="1">
      <c r="D8025" s="795"/>
      <c r="E8025" s="795"/>
    </row>
    <row r="8026" spans="4:5" hidden="1">
      <c r="D8026" s="795"/>
      <c r="E8026" s="795"/>
    </row>
    <row r="8027" spans="4:5" hidden="1">
      <c r="D8027" s="795"/>
      <c r="E8027" s="795"/>
    </row>
    <row r="8028" spans="4:5" hidden="1">
      <c r="D8028" s="795"/>
      <c r="E8028" s="795"/>
    </row>
    <row r="8029" spans="4:5" hidden="1">
      <c r="D8029" s="795"/>
      <c r="E8029" s="795"/>
    </row>
    <row r="8030" spans="4:5" hidden="1">
      <c r="D8030" s="795"/>
      <c r="E8030" s="795"/>
    </row>
    <row r="8031" spans="4:5" hidden="1">
      <c r="D8031" s="795"/>
      <c r="E8031" s="795"/>
    </row>
    <row r="8032" spans="4:5" hidden="1">
      <c r="D8032" s="795"/>
      <c r="E8032" s="795"/>
    </row>
    <row r="8033" spans="4:5" hidden="1">
      <c r="D8033" s="795"/>
      <c r="E8033" s="795"/>
    </row>
    <row r="8034" spans="4:5" hidden="1">
      <c r="D8034" s="795"/>
      <c r="E8034" s="795"/>
    </row>
    <row r="8035" spans="4:5" hidden="1">
      <c r="D8035" s="795"/>
      <c r="E8035" s="795"/>
    </row>
    <row r="8036" spans="4:5" hidden="1">
      <c r="D8036" s="795"/>
      <c r="E8036" s="795"/>
    </row>
    <row r="8037" spans="4:5" hidden="1">
      <c r="D8037" s="795"/>
      <c r="E8037" s="795"/>
    </row>
    <row r="8038" spans="4:5" hidden="1">
      <c r="D8038" s="795"/>
      <c r="E8038" s="795"/>
    </row>
    <row r="8039" spans="4:5" hidden="1">
      <c r="D8039" s="795"/>
      <c r="E8039" s="795"/>
    </row>
    <row r="8040" spans="4:5" hidden="1">
      <c r="D8040" s="795"/>
      <c r="E8040" s="795"/>
    </row>
    <row r="8041" spans="4:5" hidden="1">
      <c r="D8041" s="795"/>
      <c r="E8041" s="795"/>
    </row>
    <row r="8042" spans="4:5" hidden="1">
      <c r="D8042" s="795"/>
      <c r="E8042" s="795"/>
    </row>
    <row r="8043" spans="4:5" hidden="1">
      <c r="D8043" s="795"/>
      <c r="E8043" s="795"/>
    </row>
    <row r="8044" spans="4:5" hidden="1">
      <c r="D8044" s="795"/>
      <c r="E8044" s="795"/>
    </row>
    <row r="8045" spans="4:5" hidden="1">
      <c r="D8045" s="795"/>
      <c r="E8045" s="795"/>
    </row>
    <row r="8046" spans="4:5" hidden="1">
      <c r="D8046" s="795"/>
      <c r="E8046" s="795"/>
    </row>
    <row r="8047" spans="4:5" hidden="1">
      <c r="D8047" s="795"/>
      <c r="E8047" s="795"/>
    </row>
    <row r="8048" spans="4:5" hidden="1">
      <c r="D8048" s="795"/>
      <c r="E8048" s="795"/>
    </row>
    <row r="8049" spans="4:5" hidden="1">
      <c r="D8049" s="795"/>
      <c r="E8049" s="795"/>
    </row>
    <row r="8050" spans="4:5" hidden="1">
      <c r="D8050" s="795"/>
      <c r="E8050" s="795"/>
    </row>
    <row r="8051" spans="4:5" hidden="1">
      <c r="D8051" s="795"/>
      <c r="E8051" s="795"/>
    </row>
    <row r="8052" spans="4:5" hidden="1">
      <c r="D8052" s="795"/>
      <c r="E8052" s="795"/>
    </row>
    <row r="8053" spans="4:5" hidden="1">
      <c r="D8053" s="795"/>
      <c r="E8053" s="795"/>
    </row>
    <row r="8054" spans="4:5" hidden="1">
      <c r="D8054" s="795"/>
      <c r="E8054" s="795"/>
    </row>
    <row r="8055" spans="4:5" hidden="1">
      <c r="D8055" s="795"/>
      <c r="E8055" s="795"/>
    </row>
    <row r="8056" spans="4:5" hidden="1">
      <c r="D8056" s="795"/>
      <c r="E8056" s="795"/>
    </row>
    <row r="8057" spans="4:5" hidden="1">
      <c r="D8057" s="795"/>
      <c r="E8057" s="795"/>
    </row>
    <row r="8058" spans="4:5" hidden="1">
      <c r="D8058" s="795"/>
      <c r="E8058" s="795"/>
    </row>
    <row r="8059" spans="4:5" hidden="1">
      <c r="D8059" s="795"/>
      <c r="E8059" s="795"/>
    </row>
    <row r="8060" spans="4:5" hidden="1">
      <c r="D8060" s="795"/>
      <c r="E8060" s="795"/>
    </row>
    <row r="8061" spans="4:5" hidden="1">
      <c r="D8061" s="795"/>
      <c r="E8061" s="795"/>
    </row>
    <row r="8062" spans="4:5" hidden="1">
      <c r="D8062" s="795"/>
      <c r="E8062" s="795"/>
    </row>
    <row r="8063" spans="4:5" hidden="1">
      <c r="D8063" s="795"/>
      <c r="E8063" s="795"/>
    </row>
    <row r="8064" spans="4:5" hidden="1">
      <c r="D8064" s="795"/>
      <c r="E8064" s="795"/>
    </row>
    <row r="8065" spans="4:5" hidden="1">
      <c r="D8065" s="795"/>
      <c r="E8065" s="795"/>
    </row>
    <row r="8066" spans="4:5" hidden="1">
      <c r="D8066" s="795"/>
      <c r="E8066" s="795"/>
    </row>
    <row r="8067" spans="4:5" hidden="1">
      <c r="D8067" s="795"/>
      <c r="E8067" s="795"/>
    </row>
    <row r="8068" spans="4:5" hidden="1">
      <c r="D8068" s="795"/>
      <c r="E8068" s="795"/>
    </row>
    <row r="8069" spans="4:5" hidden="1">
      <c r="D8069" s="795"/>
      <c r="E8069" s="795"/>
    </row>
    <row r="8070" spans="4:5" hidden="1">
      <c r="D8070" s="795"/>
      <c r="E8070" s="795"/>
    </row>
    <row r="8071" spans="4:5" hidden="1">
      <c r="D8071" s="795"/>
      <c r="E8071" s="795"/>
    </row>
    <row r="8072" spans="4:5" hidden="1">
      <c r="D8072" s="795"/>
      <c r="E8072" s="795"/>
    </row>
    <row r="8073" spans="4:5" hidden="1">
      <c r="D8073" s="795"/>
      <c r="E8073" s="795"/>
    </row>
    <row r="8074" spans="4:5" hidden="1">
      <c r="D8074" s="795"/>
      <c r="E8074" s="795"/>
    </row>
    <row r="8075" spans="4:5" hidden="1">
      <c r="D8075" s="795"/>
      <c r="E8075" s="795"/>
    </row>
    <row r="8076" spans="4:5" hidden="1">
      <c r="D8076" s="795"/>
      <c r="E8076" s="795"/>
    </row>
    <row r="8077" spans="4:5" hidden="1">
      <c r="D8077" s="795"/>
      <c r="E8077" s="795"/>
    </row>
    <row r="8078" spans="4:5" hidden="1">
      <c r="D8078" s="795"/>
      <c r="E8078" s="795"/>
    </row>
    <row r="8079" spans="4:5" hidden="1">
      <c r="D8079" s="795"/>
      <c r="E8079" s="795"/>
    </row>
    <row r="8080" spans="4:5" hidden="1">
      <c r="D8080" s="795"/>
      <c r="E8080" s="795"/>
    </row>
    <row r="8081" spans="4:5" hidden="1">
      <c r="D8081" s="795"/>
      <c r="E8081" s="795"/>
    </row>
    <row r="8082" spans="4:5" hidden="1">
      <c r="D8082" s="795"/>
      <c r="E8082" s="795"/>
    </row>
    <row r="8083" spans="4:5" hidden="1">
      <c r="D8083" s="795"/>
      <c r="E8083" s="795"/>
    </row>
    <row r="8084" spans="4:5" hidden="1">
      <c r="D8084" s="795"/>
      <c r="E8084" s="795"/>
    </row>
    <row r="8085" spans="4:5" hidden="1">
      <c r="D8085" s="795"/>
      <c r="E8085" s="795"/>
    </row>
    <row r="8086" spans="4:5" hidden="1">
      <c r="D8086" s="795"/>
      <c r="E8086" s="795"/>
    </row>
    <row r="8087" spans="4:5" hidden="1">
      <c r="D8087" s="795"/>
      <c r="E8087" s="795"/>
    </row>
    <row r="8088" spans="4:5" hidden="1">
      <c r="D8088" s="795"/>
      <c r="E8088" s="795"/>
    </row>
    <row r="8089" spans="4:5" hidden="1">
      <c r="D8089" s="795"/>
      <c r="E8089" s="795"/>
    </row>
    <row r="8090" spans="4:5" hidden="1">
      <c r="D8090" s="795"/>
      <c r="E8090" s="795"/>
    </row>
    <row r="8091" spans="4:5" hidden="1">
      <c r="D8091" s="795"/>
      <c r="E8091" s="795"/>
    </row>
    <row r="8092" spans="4:5" hidden="1">
      <c r="D8092" s="795"/>
      <c r="E8092" s="795"/>
    </row>
    <row r="8093" spans="4:5" hidden="1">
      <c r="D8093" s="795"/>
      <c r="E8093" s="795"/>
    </row>
    <row r="8094" spans="4:5" hidden="1">
      <c r="D8094" s="795"/>
      <c r="E8094" s="795"/>
    </row>
    <row r="8095" spans="4:5" hidden="1">
      <c r="D8095" s="795"/>
      <c r="E8095" s="795"/>
    </row>
    <row r="8096" spans="4:5" hidden="1">
      <c r="D8096" s="795"/>
      <c r="E8096" s="795"/>
    </row>
    <row r="8097" spans="4:5" hidden="1">
      <c r="D8097" s="795"/>
      <c r="E8097" s="795"/>
    </row>
    <row r="8098" spans="4:5" hidden="1">
      <c r="D8098" s="795"/>
      <c r="E8098" s="795"/>
    </row>
    <row r="8099" spans="4:5" hidden="1">
      <c r="D8099" s="795"/>
      <c r="E8099" s="795"/>
    </row>
    <row r="8100" spans="4:5" hidden="1">
      <c r="D8100" s="795"/>
      <c r="E8100" s="795"/>
    </row>
    <row r="8101" spans="4:5" hidden="1">
      <c r="D8101" s="795"/>
      <c r="E8101" s="795"/>
    </row>
    <row r="8102" spans="4:5" hidden="1">
      <c r="D8102" s="795"/>
      <c r="E8102" s="795"/>
    </row>
    <row r="8103" spans="4:5" hidden="1">
      <c r="D8103" s="795"/>
      <c r="E8103" s="795"/>
    </row>
    <row r="8104" spans="4:5" hidden="1">
      <c r="D8104" s="795"/>
      <c r="E8104" s="795"/>
    </row>
    <row r="8105" spans="4:5" hidden="1">
      <c r="D8105" s="795"/>
      <c r="E8105" s="795"/>
    </row>
    <row r="8106" spans="4:5" hidden="1">
      <c r="D8106" s="795"/>
      <c r="E8106" s="795"/>
    </row>
    <row r="8107" spans="4:5" hidden="1">
      <c r="D8107" s="795"/>
      <c r="E8107" s="795"/>
    </row>
    <row r="8108" spans="4:5" hidden="1">
      <c r="D8108" s="795"/>
      <c r="E8108" s="795"/>
    </row>
    <row r="8109" spans="4:5" hidden="1">
      <c r="D8109" s="795"/>
      <c r="E8109" s="795"/>
    </row>
    <row r="8110" spans="4:5" hidden="1">
      <c r="D8110" s="795"/>
      <c r="E8110" s="795"/>
    </row>
    <row r="8111" spans="4:5" hidden="1">
      <c r="D8111" s="795"/>
      <c r="E8111" s="795"/>
    </row>
    <row r="8112" spans="4:5" hidden="1">
      <c r="D8112" s="795"/>
      <c r="E8112" s="795"/>
    </row>
    <row r="8113" spans="4:5" hidden="1">
      <c r="D8113" s="795"/>
      <c r="E8113" s="795"/>
    </row>
    <row r="8114" spans="4:5" hidden="1">
      <c r="D8114" s="795"/>
      <c r="E8114" s="795"/>
    </row>
    <row r="8115" spans="4:5" hidden="1">
      <c r="D8115" s="795"/>
      <c r="E8115" s="795"/>
    </row>
    <row r="8116" spans="4:5" hidden="1">
      <c r="D8116" s="795"/>
      <c r="E8116" s="795"/>
    </row>
    <row r="8117" spans="4:5" hidden="1">
      <c r="D8117" s="795"/>
      <c r="E8117" s="795"/>
    </row>
    <row r="8118" spans="4:5" hidden="1">
      <c r="D8118" s="795"/>
      <c r="E8118" s="795"/>
    </row>
    <row r="8119" spans="4:5" hidden="1">
      <c r="D8119" s="795"/>
      <c r="E8119" s="795"/>
    </row>
    <row r="8120" spans="4:5" hidden="1">
      <c r="D8120" s="795"/>
      <c r="E8120" s="795"/>
    </row>
    <row r="8121" spans="4:5" hidden="1">
      <c r="D8121" s="795"/>
      <c r="E8121" s="795"/>
    </row>
    <row r="8122" spans="4:5" hidden="1">
      <c r="D8122" s="795"/>
      <c r="E8122" s="795"/>
    </row>
    <row r="8123" spans="4:5" hidden="1">
      <c r="D8123" s="795"/>
      <c r="E8123" s="795"/>
    </row>
    <row r="8124" spans="4:5" hidden="1">
      <c r="D8124" s="795"/>
      <c r="E8124" s="795"/>
    </row>
    <row r="8125" spans="4:5" hidden="1">
      <c r="D8125" s="795"/>
      <c r="E8125" s="795"/>
    </row>
    <row r="8126" spans="4:5" hidden="1">
      <c r="D8126" s="795"/>
      <c r="E8126" s="795"/>
    </row>
    <row r="8127" spans="4:5" hidden="1">
      <c r="D8127" s="795"/>
      <c r="E8127" s="795"/>
    </row>
    <row r="8128" spans="4:5" hidden="1">
      <c r="D8128" s="795"/>
      <c r="E8128" s="795"/>
    </row>
    <row r="8129" spans="4:5" hidden="1">
      <c r="D8129" s="795"/>
      <c r="E8129" s="795"/>
    </row>
    <row r="8130" spans="4:5" hidden="1">
      <c r="D8130" s="795"/>
      <c r="E8130" s="795"/>
    </row>
    <row r="8131" spans="4:5" hidden="1">
      <c r="D8131" s="795"/>
      <c r="E8131" s="795"/>
    </row>
    <row r="8132" spans="4:5" hidden="1">
      <c r="D8132" s="795"/>
      <c r="E8132" s="795"/>
    </row>
    <row r="8133" spans="4:5" hidden="1">
      <c r="D8133" s="795"/>
      <c r="E8133" s="795"/>
    </row>
    <row r="8134" spans="4:5" hidden="1">
      <c r="D8134" s="795"/>
      <c r="E8134" s="795"/>
    </row>
    <row r="8135" spans="4:5" hidden="1">
      <c r="D8135" s="795"/>
      <c r="E8135" s="795"/>
    </row>
    <row r="8136" spans="4:5" hidden="1">
      <c r="D8136" s="795"/>
      <c r="E8136" s="795"/>
    </row>
    <row r="8137" spans="4:5" hidden="1">
      <c r="D8137" s="795"/>
      <c r="E8137" s="795"/>
    </row>
    <row r="8138" spans="4:5" hidden="1">
      <c r="D8138" s="795"/>
      <c r="E8138" s="795"/>
    </row>
    <row r="8139" spans="4:5" hidden="1">
      <c r="D8139" s="795"/>
      <c r="E8139" s="795"/>
    </row>
    <row r="8140" spans="4:5" hidden="1">
      <c r="D8140" s="795"/>
      <c r="E8140" s="795"/>
    </row>
    <row r="8141" spans="4:5" hidden="1">
      <c r="D8141" s="795"/>
      <c r="E8141" s="795"/>
    </row>
    <row r="8142" spans="4:5" hidden="1">
      <c r="D8142" s="795"/>
      <c r="E8142" s="795"/>
    </row>
    <row r="8143" spans="4:5" hidden="1">
      <c r="D8143" s="795"/>
      <c r="E8143" s="795"/>
    </row>
    <row r="8144" spans="4:5" hidden="1">
      <c r="D8144" s="795"/>
      <c r="E8144" s="795"/>
    </row>
    <row r="8145" spans="4:5" hidden="1">
      <c r="D8145" s="795"/>
      <c r="E8145" s="795"/>
    </row>
    <row r="8146" spans="4:5" hidden="1">
      <c r="D8146" s="795"/>
      <c r="E8146" s="795"/>
    </row>
    <row r="8147" spans="4:5" hidden="1">
      <c r="D8147" s="795"/>
      <c r="E8147" s="795"/>
    </row>
    <row r="8148" spans="4:5" hidden="1">
      <c r="D8148" s="795"/>
      <c r="E8148" s="795"/>
    </row>
    <row r="8149" spans="4:5" hidden="1">
      <c r="D8149" s="795"/>
      <c r="E8149" s="795"/>
    </row>
    <row r="8150" spans="4:5" hidden="1">
      <c r="D8150" s="795"/>
      <c r="E8150" s="795"/>
    </row>
    <row r="8151" spans="4:5" hidden="1">
      <c r="D8151" s="795"/>
      <c r="E8151" s="795"/>
    </row>
    <row r="8152" spans="4:5" hidden="1">
      <c r="D8152" s="795"/>
      <c r="E8152" s="795"/>
    </row>
    <row r="8153" spans="4:5" hidden="1">
      <c r="D8153" s="795"/>
      <c r="E8153" s="795"/>
    </row>
    <row r="8154" spans="4:5" hidden="1">
      <c r="D8154" s="795"/>
      <c r="E8154" s="795"/>
    </row>
    <row r="8155" spans="4:5" hidden="1">
      <c r="D8155" s="795"/>
      <c r="E8155" s="795"/>
    </row>
    <row r="8156" spans="4:5" hidden="1">
      <c r="D8156" s="795"/>
      <c r="E8156" s="795"/>
    </row>
    <row r="8157" spans="4:5" hidden="1">
      <c r="D8157" s="795"/>
      <c r="E8157" s="795"/>
    </row>
    <row r="8158" spans="4:5" hidden="1">
      <c r="D8158" s="795"/>
      <c r="E8158" s="795"/>
    </row>
    <row r="8159" spans="4:5" hidden="1">
      <c r="D8159" s="795"/>
      <c r="E8159" s="795"/>
    </row>
    <row r="8160" spans="4:5" hidden="1">
      <c r="D8160" s="795"/>
      <c r="E8160" s="795"/>
    </row>
    <row r="8161" spans="4:5" hidden="1">
      <c r="D8161" s="795"/>
      <c r="E8161" s="795"/>
    </row>
    <row r="8162" spans="4:5" hidden="1">
      <c r="D8162" s="795"/>
      <c r="E8162" s="795"/>
    </row>
    <row r="8163" spans="4:5" hidden="1">
      <c r="D8163" s="795"/>
      <c r="E8163" s="795"/>
    </row>
    <row r="8164" spans="4:5" hidden="1">
      <c r="D8164" s="795"/>
      <c r="E8164" s="795"/>
    </row>
    <row r="8165" spans="4:5" hidden="1">
      <c r="D8165" s="795"/>
      <c r="E8165" s="795"/>
    </row>
    <row r="8166" spans="4:5" hidden="1">
      <c r="D8166" s="795"/>
      <c r="E8166" s="795"/>
    </row>
    <row r="8167" spans="4:5" hidden="1">
      <c r="D8167" s="795"/>
      <c r="E8167" s="795"/>
    </row>
    <row r="8168" spans="4:5" hidden="1">
      <c r="D8168" s="795"/>
      <c r="E8168" s="795"/>
    </row>
    <row r="8169" spans="4:5" hidden="1">
      <c r="D8169" s="795"/>
      <c r="E8169" s="795"/>
    </row>
    <row r="8170" spans="4:5" hidden="1">
      <c r="D8170" s="795"/>
      <c r="E8170" s="795"/>
    </row>
    <row r="8171" spans="4:5" hidden="1">
      <c r="D8171" s="795"/>
      <c r="E8171" s="795"/>
    </row>
    <row r="8172" spans="4:5" hidden="1">
      <c r="D8172" s="795"/>
      <c r="E8172" s="795"/>
    </row>
    <row r="8173" spans="4:5" hidden="1">
      <c r="D8173" s="795"/>
      <c r="E8173" s="795"/>
    </row>
    <row r="8174" spans="4:5" hidden="1">
      <c r="D8174" s="795"/>
      <c r="E8174" s="795"/>
    </row>
    <row r="8175" spans="4:5" hidden="1">
      <c r="D8175" s="795"/>
      <c r="E8175" s="795"/>
    </row>
    <row r="8176" spans="4:5" hidden="1">
      <c r="D8176" s="795"/>
      <c r="E8176" s="795"/>
    </row>
    <row r="8177" spans="4:5" hidden="1">
      <c r="D8177" s="795"/>
      <c r="E8177" s="795"/>
    </row>
    <row r="8178" spans="4:5" hidden="1">
      <c r="D8178" s="795"/>
      <c r="E8178" s="795"/>
    </row>
    <row r="8179" spans="4:5" hidden="1">
      <c r="D8179" s="795"/>
      <c r="E8179" s="795"/>
    </row>
    <row r="8180" spans="4:5" hidden="1">
      <c r="D8180" s="795"/>
      <c r="E8180" s="795"/>
    </row>
    <row r="8181" spans="4:5" hidden="1">
      <c r="D8181" s="795"/>
      <c r="E8181" s="795"/>
    </row>
    <row r="8182" spans="4:5" hidden="1">
      <c r="D8182" s="795"/>
      <c r="E8182" s="795"/>
    </row>
    <row r="8183" spans="4:5" hidden="1">
      <c r="D8183" s="795"/>
      <c r="E8183" s="795"/>
    </row>
    <row r="8184" spans="4:5" hidden="1">
      <c r="D8184" s="795"/>
      <c r="E8184" s="795"/>
    </row>
    <row r="8185" spans="4:5" hidden="1">
      <c r="D8185" s="795"/>
      <c r="E8185" s="795"/>
    </row>
    <row r="8186" spans="4:5" hidden="1">
      <c r="D8186" s="795"/>
      <c r="E8186" s="795"/>
    </row>
    <row r="8187" spans="4:5" hidden="1">
      <c r="D8187" s="795"/>
      <c r="E8187" s="795"/>
    </row>
    <row r="8188" spans="4:5" hidden="1">
      <c r="D8188" s="795"/>
      <c r="E8188" s="795"/>
    </row>
    <row r="8189" spans="4:5" hidden="1">
      <c r="D8189" s="795"/>
      <c r="E8189" s="795"/>
    </row>
    <row r="8190" spans="4:5" hidden="1">
      <c r="D8190" s="795"/>
      <c r="E8190" s="795"/>
    </row>
    <row r="8191" spans="4:5" hidden="1">
      <c r="D8191" s="795"/>
      <c r="E8191" s="795"/>
    </row>
    <row r="8192" spans="4:5" hidden="1">
      <c r="D8192" s="795"/>
      <c r="E8192" s="795"/>
    </row>
    <row r="8193" spans="4:5" hidden="1">
      <c r="D8193" s="795"/>
      <c r="E8193" s="795"/>
    </row>
    <row r="8194" spans="4:5" hidden="1">
      <c r="D8194" s="795"/>
      <c r="E8194" s="795"/>
    </row>
    <row r="8195" spans="4:5" hidden="1">
      <c r="D8195" s="795"/>
      <c r="E8195" s="795"/>
    </row>
    <row r="8196" spans="4:5" hidden="1">
      <c r="D8196" s="795"/>
      <c r="E8196" s="795"/>
    </row>
    <row r="8197" spans="4:5" hidden="1">
      <c r="D8197" s="795"/>
      <c r="E8197" s="795"/>
    </row>
    <row r="8198" spans="4:5" hidden="1">
      <c r="D8198" s="795"/>
      <c r="E8198" s="795"/>
    </row>
    <row r="8199" spans="4:5" hidden="1">
      <c r="D8199" s="795"/>
      <c r="E8199" s="795"/>
    </row>
    <row r="8200" spans="4:5" hidden="1">
      <c r="D8200" s="795"/>
      <c r="E8200" s="795"/>
    </row>
    <row r="8201" spans="4:5" hidden="1">
      <c r="D8201" s="795"/>
      <c r="E8201" s="795"/>
    </row>
    <row r="8202" spans="4:5" hidden="1">
      <c r="D8202" s="795"/>
      <c r="E8202" s="795"/>
    </row>
    <row r="8203" spans="4:5" hidden="1">
      <c r="D8203" s="795"/>
      <c r="E8203" s="795"/>
    </row>
    <row r="8204" spans="4:5" hidden="1">
      <c r="D8204" s="795"/>
      <c r="E8204" s="795"/>
    </row>
    <row r="8205" spans="4:5" hidden="1">
      <c r="D8205" s="795"/>
      <c r="E8205" s="795"/>
    </row>
    <row r="8206" spans="4:5" hidden="1">
      <c r="D8206" s="795"/>
      <c r="E8206" s="795"/>
    </row>
    <row r="8207" spans="4:5" hidden="1">
      <c r="D8207" s="795"/>
      <c r="E8207" s="795"/>
    </row>
    <row r="8208" spans="4:5" hidden="1">
      <c r="D8208" s="795"/>
      <c r="E8208" s="795"/>
    </row>
    <row r="8209" spans="4:5" hidden="1">
      <c r="D8209" s="795"/>
      <c r="E8209" s="795"/>
    </row>
    <row r="8210" spans="4:5" hidden="1">
      <c r="D8210" s="795"/>
      <c r="E8210" s="795"/>
    </row>
    <row r="8211" spans="4:5" hidden="1">
      <c r="D8211" s="795"/>
      <c r="E8211" s="795"/>
    </row>
    <row r="8212" spans="4:5" hidden="1">
      <c r="D8212" s="795"/>
      <c r="E8212" s="795"/>
    </row>
    <row r="8213" spans="4:5" hidden="1">
      <c r="D8213" s="795"/>
      <c r="E8213" s="795"/>
    </row>
    <row r="8214" spans="4:5" hidden="1">
      <c r="D8214" s="795"/>
      <c r="E8214" s="795"/>
    </row>
    <row r="8215" spans="4:5" hidden="1">
      <c r="D8215" s="795"/>
      <c r="E8215" s="795"/>
    </row>
    <row r="8216" spans="4:5" hidden="1">
      <c r="D8216" s="795"/>
      <c r="E8216" s="795"/>
    </row>
    <row r="8217" spans="4:5" hidden="1">
      <c r="D8217" s="795"/>
      <c r="E8217" s="795"/>
    </row>
    <row r="8218" spans="4:5" hidden="1">
      <c r="D8218" s="795"/>
      <c r="E8218" s="795"/>
    </row>
    <row r="8219" spans="4:5" hidden="1">
      <c r="D8219" s="795"/>
      <c r="E8219" s="795"/>
    </row>
    <row r="8220" spans="4:5" hidden="1">
      <c r="D8220" s="795"/>
    </row>
    <row r="8221" spans="4:5" hidden="1"/>
    <row r="8222" spans="4:5" hidden="1"/>
    <row r="8223" spans="4:5" hidden="1"/>
    <row r="8224" spans="4:5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formatCells="0" formatColumns="0"/>
  <mergeCells count="3">
    <mergeCell ref="A2:B6"/>
    <mergeCell ref="A10:G10"/>
    <mergeCell ref="B12:D12"/>
  </mergeCells>
  <phoneticPr fontId="21" type="noConversion"/>
  <conditionalFormatting sqref="J28:L500 A29:C500 F30:G500 A28:G28 F29">
    <cfRule type="expression" dxfId="19" priority="3" stopIfTrue="1">
      <formula>AND($A28="",$B28="")</formula>
    </cfRule>
  </conditionalFormatting>
  <conditionalFormatting sqref="I27:I500">
    <cfRule type="expression" dxfId="18" priority="4" stopIfTrue="1">
      <formula>AND($A27="",$B27="")</formula>
    </cfRule>
    <cfRule type="expression" dxfId="17" priority="5" stopIfTrue="1">
      <formula>$A$26=2</formula>
    </cfRule>
  </conditionalFormatting>
  <conditionalFormatting sqref="H27:H500">
    <cfRule type="expression" dxfId="16" priority="6" stopIfTrue="1">
      <formula>AND($A27="",$B27="")</formula>
    </cfRule>
    <cfRule type="expression" dxfId="15" priority="7" stopIfTrue="1">
      <formula>$A$26=1</formula>
    </cfRule>
  </conditionalFormatting>
  <conditionalFormatting sqref="K18 F17:H17 A15:B17 E15:E17 C15:D15 K16 D16:D17 C17 H13">
    <cfRule type="expression" dxfId="14" priority="8" stopIfTrue="1">
      <formula>$A$26&gt;2</formula>
    </cfRule>
  </conditionalFormatting>
  <conditionalFormatting sqref="I18:J18 F16:I16 I15:K15">
    <cfRule type="expression" dxfId="13" priority="9" stopIfTrue="1">
      <formula>$A$26&lt;&gt;2</formula>
    </cfRule>
  </conditionalFormatting>
  <conditionalFormatting sqref="F15:H15 F18:H18 C18:D18">
    <cfRule type="expression" dxfId="12" priority="10" stopIfTrue="1">
      <formula>$A$26&gt;1</formula>
    </cfRule>
  </conditionalFormatting>
  <conditionalFormatting sqref="D4:F6">
    <cfRule type="expression" dxfId="11" priority="11" stopIfTrue="1">
      <formula>$F$5="o.k."</formula>
    </cfRule>
  </conditionalFormatting>
  <conditionalFormatting sqref="D29:E65536">
    <cfRule type="expression" dxfId="10" priority="2" stopIfTrue="1">
      <formula>AND($A29="",$B29="")</formula>
    </cfRule>
  </conditionalFormatting>
  <conditionalFormatting sqref="G29">
    <cfRule type="expression" dxfId="9" priority="1" stopIfTrue="1">
      <formula>AND($A29="",$B29="")</formula>
    </cfRule>
  </conditionalFormatting>
  <pageMargins left="0.78740157499999996" right="0.78740157499999996" top="0.984251969" bottom="0.984251969" header="0.4921259845" footer="0.4921259845"/>
  <pageSetup paperSize="9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5" tint="-0.249977111117893"/>
  </sheetPr>
  <dimension ref="A1:AC517"/>
  <sheetViews>
    <sheetView showGridLines="0" topLeftCell="A13" workbookViewId="0">
      <selection activeCell="C50" sqref="C50"/>
    </sheetView>
  </sheetViews>
  <sheetFormatPr baseColWidth="10" defaultColWidth="0" defaultRowHeight="12.75" zeroHeight="1"/>
  <cols>
    <col min="1" max="1" width="11.5" style="68" customWidth="1"/>
    <col min="2" max="2" width="10.75" style="68" customWidth="1"/>
    <col min="3" max="3" width="9.125" style="68" customWidth="1"/>
    <col min="4" max="4" width="12" style="799" customWidth="1"/>
    <col min="5" max="5" width="12" style="800" customWidth="1"/>
    <col min="6" max="6" width="10" style="69" customWidth="1"/>
    <col min="7" max="7" width="11.125" style="799" customWidth="1"/>
    <col min="8" max="8" width="12.625" style="799" customWidth="1"/>
    <col min="9" max="9" width="11.75" style="799" customWidth="1"/>
    <col min="10" max="10" width="10.375" style="799" bestFit="1" customWidth="1"/>
    <col min="11" max="11" width="13.125" style="69" customWidth="1"/>
    <col min="12" max="15" width="10.625" style="69" customWidth="1"/>
    <col min="16" max="16" width="12.75" style="68" customWidth="1"/>
    <col min="17" max="19" width="10.625" style="69" customWidth="1"/>
    <col min="20" max="30" width="10" style="69" customWidth="1"/>
    <col min="31" max="16384" width="0" style="69" hidden="1"/>
  </cols>
  <sheetData>
    <row r="1" spans="1:29">
      <c r="D1" s="69"/>
      <c r="E1" s="68"/>
      <c r="G1" s="69"/>
      <c r="H1" s="69"/>
      <c r="I1" s="69"/>
      <c r="J1" s="69"/>
    </row>
    <row r="2" spans="1:29">
      <c r="A2" s="945" t="str">
        <f>languages!A320</f>
        <v>Análisis de Sensibilidad Crédito</v>
      </c>
      <c r="B2" s="946"/>
      <c r="D2" s="69"/>
      <c r="E2" s="68"/>
      <c r="G2" s="69"/>
      <c r="H2" s="69"/>
      <c r="I2" s="69"/>
      <c r="J2" s="69"/>
    </row>
    <row r="3" spans="1:29" s="71" customFormat="1">
      <c r="A3" s="946"/>
      <c r="B3" s="946"/>
      <c r="C3" s="68"/>
      <c r="D3" s="69"/>
      <c r="E3" s="818" t="s">
        <v>869</v>
      </c>
      <c r="F3" s="69"/>
      <c r="G3" s="70">
        <f>'Calc Sensitivity'!C42</f>
        <v>2015</v>
      </c>
      <c r="H3" s="70">
        <f>'Calc Sensitivity'!D42</f>
        <v>2016</v>
      </c>
      <c r="I3" s="70">
        <f>'Calc Sensitivity'!E42</f>
        <v>2017</v>
      </c>
      <c r="J3" s="70">
        <f>'Calc Sensitivity'!F42</f>
        <v>2018</v>
      </c>
      <c r="K3" s="70">
        <f>'Calc Sensitivity'!G42</f>
        <v>2019</v>
      </c>
      <c r="L3" s="70">
        <f>'Calc Sensitivity'!H42</f>
        <v>2020</v>
      </c>
      <c r="M3" s="70">
        <f>'Calc Sensitivity'!I42</f>
        <v>2021</v>
      </c>
      <c r="N3" s="70">
        <f>'Calc Sensitivity'!J42</f>
        <v>2022</v>
      </c>
      <c r="O3" s="70">
        <f>'Calc Sensitivity'!K42</f>
        <v>2023</v>
      </c>
      <c r="P3" s="70">
        <f>'Calc Sensitivity'!L42</f>
        <v>2024</v>
      </c>
      <c r="Q3" s="70">
        <f>'Calc Sensitivity'!M42</f>
        <v>2025</v>
      </c>
      <c r="R3" s="70">
        <f>'Calc Sensitivity'!N42</f>
        <v>2026</v>
      </c>
      <c r="S3" s="70">
        <f>'Calc Sensitivity'!O42</f>
        <v>2027</v>
      </c>
      <c r="T3" s="70">
        <f>'Calc Sensitivity'!P42</f>
        <v>2028</v>
      </c>
      <c r="U3" s="70">
        <f>'Calc Sensitivity'!Q42</f>
        <v>2029</v>
      </c>
      <c r="V3" s="70">
        <f>'Calc Sensitivity'!R42</f>
        <v>2030</v>
      </c>
      <c r="W3" s="70">
        <f>'Calc Sensitivity'!S42</f>
        <v>2031</v>
      </c>
      <c r="X3" s="70">
        <f>'Calc Sensitivity'!T42</f>
        <v>2032</v>
      </c>
      <c r="Y3" s="70">
        <f>'Calc Sensitivity'!U42</f>
        <v>2033</v>
      </c>
      <c r="Z3" s="70">
        <f>'Calc Sensitivity'!V42</f>
        <v>2034</v>
      </c>
      <c r="AA3" s="70">
        <f>'Calc Sensitivity'!AG42</f>
        <v>0</v>
      </c>
      <c r="AB3" s="70">
        <f>'Calc Sensitivity'!AH42</f>
        <v>0</v>
      </c>
      <c r="AC3" s="70">
        <f>'Calc Sensitivity'!AI42</f>
        <v>0</v>
      </c>
    </row>
    <row r="4" spans="1:29" s="748" customFormat="1" ht="27.75" customHeight="1">
      <c r="A4" s="946"/>
      <c r="B4" s="946"/>
      <c r="C4" s="750"/>
      <c r="D4" s="816" t="str">
        <f>languages!A276</f>
        <v>Tasa de Interés</v>
      </c>
      <c r="E4" s="817">
        <f>SUM(G4:AC4)</f>
        <v>37454.83292367337</v>
      </c>
      <c r="F4" s="816"/>
      <c r="G4" s="813">
        <f t="shared" ref="G4:AC4" si="0">SUMIF($K$28:$K$500,G$3,$E$28:$E$500)</f>
        <v>2919.8666666666668</v>
      </c>
      <c r="H4" s="813">
        <f t="shared" si="0"/>
        <v>2928</v>
      </c>
      <c r="I4" s="813">
        <f t="shared" si="0"/>
        <v>2928</v>
      </c>
      <c r="J4" s="813">
        <f t="shared" si="0"/>
        <v>2888.6909615634813</v>
      </c>
      <c r="K4" s="813">
        <f t="shared" si="0"/>
        <v>2780.1378902971933</v>
      </c>
      <c r="L4" s="813">
        <f t="shared" si="0"/>
        <v>2664.9236171467564</v>
      </c>
      <c r="M4" s="813">
        <f t="shared" si="0"/>
        <v>2542.6393871131309</v>
      </c>
      <c r="N4" s="813">
        <f t="shared" si="0"/>
        <v>2412.8513625391975</v>
      </c>
      <c r="O4" s="813">
        <f t="shared" si="0"/>
        <v>2275.0990839488022</v>
      </c>
      <c r="P4" s="813">
        <f t="shared" si="0"/>
        <v>2128.8938364374158</v>
      </c>
      <c r="Q4" s="813">
        <f t="shared" si="0"/>
        <v>1973.7169158187244</v>
      </c>
      <c r="R4" s="813">
        <f t="shared" si="0"/>
        <v>1809.0177883758165</v>
      </c>
      <c r="S4" s="813">
        <f t="shared" si="0"/>
        <v>1634.2121376881723</v>
      </c>
      <c r="T4" s="813">
        <f t="shared" si="0"/>
        <v>1448.6797916050209</v>
      </c>
      <c r="U4" s="813">
        <f t="shared" si="0"/>
        <v>1251.7625220104208</v>
      </c>
      <c r="V4" s="813">
        <f t="shared" si="0"/>
        <v>1042.7617095741157</v>
      </c>
      <c r="W4" s="813">
        <f t="shared" si="0"/>
        <v>820.93586520320923</v>
      </c>
      <c r="X4" s="813">
        <f t="shared" si="0"/>
        <v>585.4979994013155</v>
      </c>
      <c r="Y4" s="813">
        <f t="shared" si="0"/>
        <v>335.61283020224516</v>
      </c>
      <c r="Z4" s="813">
        <f t="shared" si="0"/>
        <v>83.532558081687682</v>
      </c>
      <c r="AA4" s="813">
        <f t="shared" si="0"/>
        <v>0</v>
      </c>
      <c r="AB4" s="813">
        <f t="shared" si="0"/>
        <v>0</v>
      </c>
      <c r="AC4" s="813">
        <f t="shared" si="0"/>
        <v>0</v>
      </c>
    </row>
    <row r="5" spans="1:29" s="748" customFormat="1" ht="27.75" customHeight="1">
      <c r="A5" s="946"/>
      <c r="B5" s="946"/>
      <c r="C5" s="750"/>
      <c r="D5" s="816" t="str">
        <f>languages!A277</f>
        <v>Amortización/Reembolso</v>
      </c>
      <c r="E5" s="817">
        <f>SUM(G5:AC5)</f>
        <v>48800</v>
      </c>
      <c r="F5" s="816" t="str">
        <f>IF(ABS(E5-E14)&lt;10,"o.k.","Fehler!")</f>
        <v>o.k.</v>
      </c>
      <c r="G5" s="814">
        <f t="shared" ref="G5:AC5" si="1">SUMIF($K$28:$K$500,G$3,$G$28:$G$500)</f>
        <v>0</v>
      </c>
      <c r="H5" s="814">
        <f t="shared" si="1"/>
        <v>0</v>
      </c>
      <c r="I5" s="814">
        <f t="shared" si="1"/>
        <v>0</v>
      </c>
      <c r="J5" s="814">
        <f t="shared" si="1"/>
        <v>1769.0154849361531</v>
      </c>
      <c r="K5" s="814">
        <f t="shared" si="1"/>
        <v>1877.5685562024414</v>
      </c>
      <c r="L5" s="814">
        <f t="shared" si="1"/>
        <v>1992.782829352878</v>
      </c>
      <c r="M5" s="814">
        <f t="shared" si="1"/>
        <v>2115.0670593865038</v>
      </c>
      <c r="N5" s="814">
        <f t="shared" si="1"/>
        <v>2244.8550839604372</v>
      </c>
      <c r="O5" s="814">
        <f t="shared" si="1"/>
        <v>2382.6073625508325</v>
      </c>
      <c r="P5" s="814">
        <f t="shared" si="1"/>
        <v>2528.8126100622189</v>
      </c>
      <c r="Q5" s="814">
        <f t="shared" si="1"/>
        <v>2683.9895306809103</v>
      </c>
      <c r="R5" s="814">
        <f t="shared" si="1"/>
        <v>2848.6886581238182</v>
      </c>
      <c r="S5" s="814">
        <f t="shared" si="1"/>
        <v>3023.4943088114624</v>
      </c>
      <c r="T5" s="814">
        <f t="shared" si="1"/>
        <v>3209.0266548946133</v>
      </c>
      <c r="U5" s="814">
        <f t="shared" si="1"/>
        <v>3405.9439244892137</v>
      </c>
      <c r="V5" s="814">
        <f t="shared" si="1"/>
        <v>3614.944736925519</v>
      </c>
      <c r="W5" s="814">
        <f t="shared" si="1"/>
        <v>3836.7705812964255</v>
      </c>
      <c r="X5" s="814">
        <f t="shared" si="1"/>
        <v>4072.2084470983191</v>
      </c>
      <c r="Y5" s="814">
        <f t="shared" si="1"/>
        <v>4322.0936162973894</v>
      </c>
      <c r="Z5" s="814">
        <f t="shared" si="1"/>
        <v>2872.1305549308645</v>
      </c>
      <c r="AA5" s="814">
        <f t="shared" si="1"/>
        <v>0</v>
      </c>
      <c r="AB5" s="814">
        <f t="shared" si="1"/>
        <v>0</v>
      </c>
      <c r="AC5" s="814">
        <f t="shared" si="1"/>
        <v>0</v>
      </c>
    </row>
    <row r="6" spans="1:29" s="748" customFormat="1" ht="27.75" customHeight="1">
      <c r="A6" s="946"/>
      <c r="B6" s="946"/>
      <c r="C6" s="750"/>
      <c r="D6" s="816" t="str">
        <f>languages!A278</f>
        <v>Servicio de Deuda</v>
      </c>
      <c r="E6" s="817">
        <f>SUM(G6:AC6)</f>
        <v>86254.832923673384</v>
      </c>
      <c r="F6" s="816"/>
      <c r="G6" s="815">
        <f t="shared" ref="G6:AC6" si="2">SUMIF($K$28:$K$500,G$3,$J$28:$J$500)</f>
        <v>2919.8666666666668</v>
      </c>
      <c r="H6" s="815">
        <f t="shared" si="2"/>
        <v>2928</v>
      </c>
      <c r="I6" s="815">
        <f t="shared" si="2"/>
        <v>2928</v>
      </c>
      <c r="J6" s="815">
        <f t="shared" si="2"/>
        <v>4657.7064464996347</v>
      </c>
      <c r="K6" s="815">
        <f t="shared" si="2"/>
        <v>4657.7064464996347</v>
      </c>
      <c r="L6" s="815">
        <f t="shared" si="2"/>
        <v>4657.7064464996347</v>
      </c>
      <c r="M6" s="815">
        <f t="shared" si="2"/>
        <v>4657.7064464996347</v>
      </c>
      <c r="N6" s="815">
        <f t="shared" si="2"/>
        <v>4657.7064464996347</v>
      </c>
      <c r="O6" s="815">
        <f t="shared" si="2"/>
        <v>4657.7064464996347</v>
      </c>
      <c r="P6" s="815">
        <f t="shared" si="2"/>
        <v>4657.7064464996347</v>
      </c>
      <c r="Q6" s="815">
        <f t="shared" si="2"/>
        <v>4657.7064464996347</v>
      </c>
      <c r="R6" s="815">
        <f t="shared" si="2"/>
        <v>4657.7064464996347</v>
      </c>
      <c r="S6" s="815">
        <f t="shared" si="2"/>
        <v>4657.7064464996347</v>
      </c>
      <c r="T6" s="815">
        <f t="shared" si="2"/>
        <v>4657.7064464996347</v>
      </c>
      <c r="U6" s="815">
        <f t="shared" si="2"/>
        <v>4657.7064464996347</v>
      </c>
      <c r="V6" s="815">
        <f t="shared" si="2"/>
        <v>4657.7064464996347</v>
      </c>
      <c r="W6" s="815">
        <f t="shared" si="2"/>
        <v>4657.7064464996347</v>
      </c>
      <c r="X6" s="815">
        <f t="shared" si="2"/>
        <v>4657.7064464996347</v>
      </c>
      <c r="Y6" s="815">
        <f t="shared" si="2"/>
        <v>4657.7064464996347</v>
      </c>
      <c r="Z6" s="815">
        <f t="shared" si="2"/>
        <v>2955.663113012552</v>
      </c>
      <c r="AA6" s="815">
        <f t="shared" si="2"/>
        <v>0</v>
      </c>
      <c r="AB6" s="815">
        <f t="shared" si="2"/>
        <v>0</v>
      </c>
      <c r="AC6" s="815">
        <f t="shared" si="2"/>
        <v>0</v>
      </c>
    </row>
    <row r="7" spans="1:29" s="105" customFormat="1">
      <c r="A7" s="103"/>
      <c r="B7" s="103"/>
      <c r="C7" s="103"/>
      <c r="D7" s="104"/>
      <c r="E7" s="104"/>
      <c r="F7" s="104"/>
      <c r="G7" s="104" t="str">
        <f t="shared" ref="G7:AC7" si="3">IF(ABS(G4+G5-G6)&lt;5,"","Fehler!")</f>
        <v/>
      </c>
      <c r="H7" s="104" t="str">
        <f t="shared" si="3"/>
        <v/>
      </c>
      <c r="I7" s="104" t="str">
        <f t="shared" si="3"/>
        <v/>
      </c>
      <c r="J7" s="104" t="str">
        <f t="shared" si="3"/>
        <v/>
      </c>
      <c r="K7" s="104" t="str">
        <f t="shared" si="3"/>
        <v/>
      </c>
      <c r="L7" s="104" t="str">
        <f t="shared" si="3"/>
        <v/>
      </c>
      <c r="M7" s="104" t="str">
        <f t="shared" si="3"/>
        <v/>
      </c>
      <c r="N7" s="104" t="str">
        <f t="shared" si="3"/>
        <v/>
      </c>
      <c r="O7" s="104" t="str">
        <f t="shared" si="3"/>
        <v/>
      </c>
      <c r="P7" s="104" t="str">
        <f t="shared" si="3"/>
        <v/>
      </c>
      <c r="Q7" s="104" t="str">
        <f t="shared" si="3"/>
        <v/>
      </c>
      <c r="R7" s="104" t="str">
        <f t="shared" si="3"/>
        <v/>
      </c>
      <c r="S7" s="104" t="str">
        <f t="shared" si="3"/>
        <v/>
      </c>
      <c r="T7" s="104" t="str">
        <f t="shared" si="3"/>
        <v/>
      </c>
      <c r="U7" s="104" t="str">
        <f t="shared" si="3"/>
        <v/>
      </c>
      <c r="V7" s="104" t="str">
        <f t="shared" si="3"/>
        <v/>
      </c>
      <c r="W7" s="104" t="str">
        <f t="shared" si="3"/>
        <v/>
      </c>
      <c r="X7" s="104" t="str">
        <f t="shared" si="3"/>
        <v/>
      </c>
      <c r="Y7" s="104" t="str">
        <f t="shared" si="3"/>
        <v/>
      </c>
      <c r="Z7" s="104" t="str">
        <f t="shared" si="3"/>
        <v/>
      </c>
      <c r="AA7" s="104" t="str">
        <f t="shared" si="3"/>
        <v/>
      </c>
      <c r="AB7" s="104" t="str">
        <f t="shared" si="3"/>
        <v/>
      </c>
      <c r="AC7" s="104" t="str">
        <f t="shared" si="3"/>
        <v/>
      </c>
    </row>
    <row r="8" spans="1:29">
      <c r="D8" s="69"/>
      <c r="E8" s="68"/>
      <c r="G8" s="69"/>
      <c r="H8" s="69"/>
      <c r="I8" s="69"/>
      <c r="J8" s="69"/>
    </row>
    <row r="9" spans="1:29">
      <c r="D9" s="69"/>
      <c r="E9" s="68"/>
      <c r="G9" s="69"/>
      <c r="H9" s="69"/>
      <c r="I9" s="69"/>
      <c r="J9" s="69"/>
    </row>
    <row r="10" spans="1:29" ht="12" customHeight="1" thickBot="1">
      <c r="A10" s="943"/>
      <c r="B10" s="943"/>
      <c r="C10" s="943"/>
      <c r="D10" s="943"/>
      <c r="E10" s="943"/>
      <c r="F10" s="943"/>
      <c r="G10" s="943"/>
      <c r="H10" s="69"/>
      <c r="I10" s="69"/>
      <c r="J10" s="69"/>
      <c r="P10" s="72" t="str">
        <f>'Main Input-Output'!A97</f>
        <v>Fixe Tilgungsrate - Tasa de reembolso fija</v>
      </c>
      <c r="Q10" s="73">
        <v>2</v>
      </c>
    </row>
    <row r="11" spans="1:29" s="75" customFormat="1" ht="15" customHeight="1">
      <c r="A11" s="809" t="str">
        <f>languages!A281</f>
        <v>Financiamiento Escenario Sensibilidad</v>
      </c>
      <c r="B11" s="810"/>
      <c r="C11" s="810"/>
      <c r="D11" s="811"/>
      <c r="E11" s="811"/>
      <c r="F11" s="812"/>
      <c r="G11" s="812"/>
      <c r="H11" s="812"/>
      <c r="I11" s="812"/>
      <c r="J11" s="812"/>
      <c r="K11" s="812"/>
      <c r="L11" s="69"/>
      <c r="M11" s="69"/>
      <c r="N11" s="69"/>
      <c r="O11" s="69"/>
      <c r="P11" s="74" t="str">
        <f>'Main Input-Output'!A96</f>
        <v>Annuitätendarlehen - Quotas anuales constantes</v>
      </c>
      <c r="Q11" s="73">
        <v>1</v>
      </c>
      <c r="R11" s="69"/>
    </row>
    <row r="12" spans="1:29" s="752" customFormat="1" ht="27" customHeight="1">
      <c r="A12" s="756" t="s">
        <v>62</v>
      </c>
      <c r="B12" s="947" t="str">
        <f>'Calc Sensitivity'!B34</f>
        <v>Annuitätendarlehen - Quotas anuales constantes</v>
      </c>
      <c r="C12" s="947"/>
      <c r="D12" s="947"/>
      <c r="E12" s="756"/>
      <c r="F12" s="756"/>
      <c r="G12" s="756"/>
      <c r="H12" s="756"/>
      <c r="I12" s="756"/>
      <c r="J12" s="756"/>
      <c r="K12" s="756"/>
      <c r="O12" s="757"/>
      <c r="P12" s="757"/>
      <c r="Q12" s="757"/>
      <c r="R12" s="757"/>
    </row>
    <row r="13" spans="1:29" s="752" customFormat="1" ht="25.5" customHeight="1">
      <c r="A13" s="753"/>
      <c r="B13" s="753"/>
      <c r="C13" s="753"/>
      <c r="D13" s="756" t="str">
        <f>languages!A287</f>
        <v>Inicio:</v>
      </c>
      <c r="E13" s="758">
        <f>'Calc Sensitivity'!B5</f>
        <v>2015</v>
      </c>
      <c r="F13" s="756" t="str">
        <f>languages!A291</f>
        <v>Mes:</v>
      </c>
      <c r="G13" s="759">
        <f>'Main Input-Output'!B34</f>
        <v>1</v>
      </c>
      <c r="H13" s="760">
        <f>DATE(E13,G13,1)</f>
        <v>42005</v>
      </c>
      <c r="I13" s="756" t="str">
        <f>languages!A297</f>
        <v>Puesta en Marcha:</v>
      </c>
      <c r="J13" s="756"/>
      <c r="K13" s="756"/>
      <c r="O13" s="757"/>
      <c r="P13" s="757"/>
      <c r="Q13" s="757"/>
    </row>
    <row r="14" spans="1:29" s="752" customFormat="1" ht="25.5" customHeight="1">
      <c r="A14" s="756" t="str">
        <f>languages!A284</f>
        <v>Monto del Préstamo</v>
      </c>
      <c r="B14" s="756"/>
      <c r="C14" s="756"/>
      <c r="D14" s="756"/>
      <c r="E14" s="807">
        <f>-'Calc Sensitivity'!B29</f>
        <v>48800</v>
      </c>
      <c r="F14" s="756" t="str">
        <f>languages!A292</f>
        <v>Pago:</v>
      </c>
      <c r="G14" s="756"/>
      <c r="H14" s="761">
        <f>'Calc Sensitivity'!B38</f>
        <v>0.92</v>
      </c>
      <c r="I14" s="756" t="str">
        <f>languages!A298</f>
        <v>Préstamo Neto:</v>
      </c>
      <c r="J14" s="756"/>
      <c r="K14" s="808">
        <f>E14*H14</f>
        <v>44896</v>
      </c>
      <c r="O14" s="757"/>
      <c r="P14" s="757"/>
      <c r="Q14" s="757"/>
    </row>
    <row r="15" spans="1:29" s="752" customFormat="1" ht="42.75" customHeight="1">
      <c r="A15" s="756" t="str">
        <f>languages!A285</f>
        <v>Tasa de Interés Nominal</v>
      </c>
      <c r="B15" s="756"/>
      <c r="C15" s="762">
        <f>'Calc Sensitivity'!B35</f>
        <v>0.06</v>
      </c>
      <c r="D15" s="756" t="str">
        <f>languages!A288</f>
        <v>Después de Tasa Fija de Interés:</v>
      </c>
      <c r="E15" s="762">
        <f>'Calc Sensitivity'!B36</f>
        <v>0.06</v>
      </c>
      <c r="F15" s="763" t="str">
        <f>Credit!F15</f>
        <v>Anual</v>
      </c>
      <c r="G15" s="763"/>
      <c r="H15" s="807">
        <f>(PMT(C15,E17-H17,-E14,0,0))</f>
        <v>4657.7064464996347</v>
      </c>
      <c r="I15" s="763" t="str">
        <f>languages!A299</f>
        <v>Tasa de Reembolso</v>
      </c>
      <c r="J15" s="756"/>
      <c r="K15" s="763">
        <f>1/(E17-H17)</f>
        <v>5.8823529411764705E-2</v>
      </c>
      <c r="O15" s="757"/>
      <c r="P15" s="757"/>
      <c r="Q15" s="757"/>
    </row>
    <row r="16" spans="1:29" s="752" customFormat="1" ht="25.5" customHeight="1">
      <c r="A16" s="756"/>
      <c r="B16" s="756"/>
      <c r="C16" s="753"/>
      <c r="D16" s="756" t="str">
        <f>languages!A289</f>
        <v>Término Tasa Fija de Interés:</v>
      </c>
      <c r="E16" s="760">
        <f>DATE(E13+C17,MONTH($H$13),1)</f>
        <v>48945</v>
      </c>
      <c r="F16" s="763" t="str">
        <f>languages!A294</f>
        <v>Cuotas de Reembolso Anuales</v>
      </c>
      <c r="G16" s="756"/>
      <c r="H16" s="764">
        <f>12-COUNTBLANK(C20:N20)</f>
        <v>4</v>
      </c>
      <c r="I16" s="763" t="str">
        <f>languages!A300</f>
        <v>Inicio Reembolso</v>
      </c>
      <c r="J16" s="753"/>
      <c r="K16" s="760">
        <f>DATE(YEAR(C28),MONTH(C28)+H17*12,DAY(C28))</f>
        <v>43101</v>
      </c>
      <c r="O16" s="757"/>
      <c r="P16" s="757"/>
      <c r="Q16" s="757"/>
    </row>
    <row r="17" spans="1:18" s="752" customFormat="1" ht="25.5" customHeight="1">
      <c r="A17" s="756" t="str">
        <f>languages!A286</f>
        <v>Plazo:</v>
      </c>
      <c r="B17" s="756"/>
      <c r="C17" s="765">
        <f>'Calc Sensitivity'!B32</f>
        <v>19</v>
      </c>
      <c r="D17" s="766">
        <f>E17-C17</f>
        <v>1</v>
      </c>
      <c r="E17" s="767">
        <f>'Calc Sensitivity'!B31</f>
        <v>20</v>
      </c>
      <c r="F17" s="756" t="str">
        <f>languages!A295</f>
        <v>Sin Cuotas Crediticias</v>
      </c>
      <c r="G17" s="756"/>
      <c r="H17" s="767">
        <f>'Calc Sensitivity'!B33</f>
        <v>3</v>
      </c>
      <c r="I17" s="763" t="str">
        <f>languages!A301</f>
        <v>Días de Interés Anual</v>
      </c>
      <c r="J17" s="756"/>
      <c r="K17" s="768">
        <v>360</v>
      </c>
      <c r="N17" s="754"/>
      <c r="O17" s="757"/>
      <c r="P17" s="757"/>
      <c r="Q17" s="757"/>
    </row>
    <row r="18" spans="1:18" s="752" customFormat="1" ht="25.5" customHeight="1">
      <c r="A18" s="755"/>
      <c r="B18" s="755"/>
      <c r="C18" s="763"/>
      <c r="D18" s="763" t="s">
        <v>83</v>
      </c>
      <c r="E18" s="807">
        <f>VLOOKUP(E16,$C$28:$D$544,2,1)</f>
        <v>3976.9036123702199</v>
      </c>
      <c r="F18" s="763" t="s">
        <v>84</v>
      </c>
      <c r="G18" s="763"/>
      <c r="H18" s="807">
        <f>(PMT(E15,D17,-E18,0,0))</f>
        <v>4215.517829112433</v>
      </c>
      <c r="I18" s="763" t="str">
        <f>languages!A318</f>
        <v>Fin de Reembolso Crédito</v>
      </c>
      <c r="J18" s="763"/>
      <c r="K18" s="760">
        <f>MAX(L28:L500)</f>
        <v>49217</v>
      </c>
      <c r="N18" s="754"/>
      <c r="O18" s="757"/>
      <c r="P18" s="757"/>
      <c r="Q18" s="757"/>
    </row>
    <row r="19" spans="1:18" s="79" customFormat="1" ht="27" customHeight="1">
      <c r="A19" s="81" t="s">
        <v>87</v>
      </c>
      <c r="B19" s="82"/>
      <c r="C19" s="83"/>
      <c r="D19" s="84" t="str">
        <f t="shared" ref="D19:N19" si="4">IF(OR(AND(YEAR(D20)&lt;&gt;YEAR($C20),D20&lt;&gt;""),AND(YEAR(D21)&lt;&gt;YEAR($C21),D21&lt;&gt;"")),"Eingabefehler!","")</f>
        <v/>
      </c>
      <c r="E19" s="84" t="str">
        <f t="shared" si="4"/>
        <v/>
      </c>
      <c r="F19" s="84" t="str">
        <f t="shared" si="4"/>
        <v/>
      </c>
      <c r="G19" s="84" t="str">
        <f t="shared" si="4"/>
        <v/>
      </c>
      <c r="H19" s="84" t="str">
        <f t="shared" si="4"/>
        <v/>
      </c>
      <c r="I19" s="84" t="str">
        <f t="shared" si="4"/>
        <v/>
      </c>
      <c r="J19" s="84" t="str">
        <f t="shared" si="4"/>
        <v/>
      </c>
      <c r="K19" s="84" t="str">
        <f t="shared" si="4"/>
        <v/>
      </c>
      <c r="L19" s="84" t="str">
        <f t="shared" si="4"/>
        <v/>
      </c>
      <c r="M19" s="84" t="str">
        <f t="shared" si="4"/>
        <v/>
      </c>
      <c r="N19" s="84" t="str">
        <f t="shared" si="4"/>
        <v/>
      </c>
      <c r="O19" s="69"/>
      <c r="P19" s="69"/>
      <c r="Q19" s="69"/>
    </row>
    <row r="20" spans="1:18" s="79" customFormat="1" ht="12" customHeight="1">
      <c r="A20" s="85" t="s">
        <v>89</v>
      </c>
      <c r="B20" s="85"/>
      <c r="C20" s="102">
        <v>40633</v>
      </c>
      <c r="D20" s="102">
        <v>40724</v>
      </c>
      <c r="E20" s="102">
        <v>40816</v>
      </c>
      <c r="F20" s="102">
        <v>40908</v>
      </c>
      <c r="G20" s="658"/>
      <c r="H20" s="659"/>
      <c r="I20" s="659"/>
      <c r="J20" s="659"/>
      <c r="K20" s="659"/>
      <c r="L20" s="659"/>
      <c r="M20" s="659"/>
      <c r="N20" s="659"/>
      <c r="O20" s="69"/>
      <c r="P20" s="69"/>
      <c r="Q20" s="69"/>
    </row>
    <row r="21" spans="1:18" s="79" customFormat="1" ht="12" customHeight="1">
      <c r="A21" s="85" t="s">
        <v>91</v>
      </c>
      <c r="B21" s="85"/>
      <c r="C21" s="102">
        <v>40633</v>
      </c>
      <c r="D21" s="102">
        <v>40724</v>
      </c>
      <c r="E21" s="102">
        <v>40816</v>
      </c>
      <c r="F21" s="102">
        <v>40908</v>
      </c>
      <c r="G21" s="658"/>
      <c r="H21" s="659"/>
      <c r="I21" s="659"/>
      <c r="J21" s="659"/>
      <c r="K21" s="659"/>
      <c r="L21" s="659"/>
      <c r="M21" s="659"/>
      <c r="N21" s="659"/>
      <c r="O21" s="69"/>
      <c r="P21" s="69"/>
      <c r="Q21" s="69"/>
    </row>
    <row r="22" spans="1:18" s="79" customFormat="1" ht="12" customHeight="1">
      <c r="A22" s="82"/>
      <c r="B22" s="82"/>
      <c r="C22" s="82"/>
      <c r="D22" s="76"/>
      <c r="E22" s="76"/>
      <c r="F22" s="77"/>
      <c r="G22" s="77"/>
      <c r="H22" s="77"/>
      <c r="I22" s="77"/>
      <c r="J22" s="78"/>
      <c r="K22" s="78"/>
      <c r="N22" s="80"/>
      <c r="O22" s="69"/>
      <c r="P22" s="69"/>
      <c r="Q22" s="69"/>
    </row>
    <row r="23" spans="1:18" s="79" customFormat="1" ht="12" customHeight="1">
      <c r="A23" s="82"/>
      <c r="B23" s="82"/>
      <c r="C23" s="82"/>
      <c r="D23" s="76"/>
      <c r="E23" s="76"/>
      <c r="F23" s="77"/>
      <c r="G23" s="77"/>
      <c r="H23" s="77"/>
      <c r="I23" s="77"/>
      <c r="J23" s="78"/>
      <c r="K23" s="78"/>
      <c r="N23" s="80"/>
      <c r="O23" s="69"/>
      <c r="P23" s="69"/>
      <c r="Q23" s="69"/>
    </row>
    <row r="24" spans="1:18" s="79" customFormat="1" ht="15" customHeight="1">
      <c r="A24" s="82" t="s">
        <v>95</v>
      </c>
      <c r="B24" s="82"/>
      <c r="C24" s="82"/>
      <c r="D24" s="76"/>
      <c r="E24" s="76"/>
      <c r="F24" s="77"/>
      <c r="G24" s="77"/>
      <c r="H24" s="77"/>
      <c r="I24" s="77"/>
      <c r="J24" s="78"/>
      <c r="K24" s="78"/>
      <c r="N24" s="80"/>
      <c r="O24" s="69"/>
      <c r="P24" s="69"/>
      <c r="Q24" s="69"/>
    </row>
    <row r="25" spans="1:18" s="79" customFormat="1" ht="12" customHeight="1">
      <c r="A25" s="82"/>
      <c r="B25" s="82"/>
      <c r="C25" s="82"/>
      <c r="D25" s="76"/>
      <c r="E25" s="76"/>
      <c r="F25" s="77"/>
      <c r="G25" s="77"/>
      <c r="H25" s="77"/>
      <c r="I25" s="77"/>
      <c r="J25" s="78"/>
      <c r="K25" s="78"/>
      <c r="N25" s="80"/>
      <c r="P25" s="82"/>
    </row>
    <row r="26" spans="1:18" s="79" customFormat="1" ht="18" customHeight="1" thickBot="1">
      <c r="A26" s="86">
        <f>VLOOKUP(B26,P10:Q11,2,0)</f>
        <v>1</v>
      </c>
      <c r="B26" s="87" t="str">
        <f>B12</f>
        <v>Annuitätendarlehen - Quotas anuales constantes</v>
      </c>
      <c r="C26" s="86"/>
      <c r="D26" s="86"/>
      <c r="E26" s="87"/>
      <c r="F26" s="87"/>
      <c r="G26" s="87"/>
      <c r="H26" s="87"/>
      <c r="I26" s="87"/>
      <c r="J26" s="87"/>
      <c r="K26" s="87"/>
      <c r="L26" s="87"/>
      <c r="N26" s="80"/>
      <c r="P26" s="82"/>
    </row>
    <row r="27" spans="1:18" s="89" customFormat="1" ht="38.25">
      <c r="A27" s="88" t="str">
        <f>languages!A307</f>
        <v>Fechas Pago Intereses</v>
      </c>
      <c r="B27" s="88" t="str">
        <f>languages!A308</f>
        <v>Reembolso</v>
      </c>
      <c r="C27" s="88" t="str">
        <f>languages!A309</f>
        <v>Fecha</v>
      </c>
      <c r="D27" s="88" t="str">
        <f>languages!A310</f>
        <v>Valor</v>
      </c>
      <c r="E27" s="88" t="str">
        <f>languages!A311</f>
        <v>Interés</v>
      </c>
      <c r="F27" s="88" t="str">
        <f>languages!A312</f>
        <v>Tasa de Interés</v>
      </c>
      <c r="G27" s="88" t="str">
        <f>languages!A313</f>
        <v>Reembolso</v>
      </c>
      <c r="H27" s="88" t="str">
        <f>languages!A314</f>
        <v xml:space="preserve">Crédito Tasa Fija </v>
      </c>
      <c r="I27" s="88" t="str">
        <f>languages!A315</f>
        <v>Crédito Cuotas Anuales Constantes</v>
      </c>
      <c r="J27" s="88" t="str">
        <f>languages!A316</f>
        <v>Servicio de Deuda</v>
      </c>
      <c r="K27" s="88" t="str">
        <f>languages!A317</f>
        <v>Año</v>
      </c>
      <c r="L27" s="88" t="str">
        <f>languages!A318</f>
        <v>Fin de Reembolso Crédito</v>
      </c>
      <c r="M27" s="79"/>
      <c r="N27" s="80"/>
      <c r="O27" s="79"/>
      <c r="P27" s="82"/>
      <c r="Q27" s="79"/>
      <c r="R27" s="79"/>
    </row>
    <row r="28" spans="1:18" ht="12.75" customHeight="1">
      <c r="A28" s="90">
        <v>0</v>
      </c>
      <c r="B28" s="91">
        <v>0</v>
      </c>
      <c r="C28" s="106">
        <f>H13</f>
        <v>42005</v>
      </c>
      <c r="D28" s="795">
        <f>E14</f>
        <v>48800</v>
      </c>
      <c r="E28" s="795"/>
      <c r="F28" s="107">
        <f>C15</f>
        <v>0.06</v>
      </c>
      <c r="G28" s="795">
        <f t="shared" ref="G28:G91" si="5">IF($A$26=1,I28,H28)</f>
        <v>0</v>
      </c>
      <c r="H28" s="795"/>
      <c r="I28" s="795"/>
      <c r="J28" s="795"/>
      <c r="K28" s="108">
        <f t="shared" ref="K28:K91" si="6">YEAR(C28)</f>
        <v>2015</v>
      </c>
      <c r="L28" s="92" t="str">
        <f t="shared" ref="L28:L91" si="7">IF(AND(D28&gt;1,D29&lt;1),C28,"")</f>
        <v/>
      </c>
      <c r="M28" s="79"/>
      <c r="N28" s="80"/>
      <c r="O28" s="79"/>
      <c r="P28" s="82"/>
      <c r="Q28" s="79"/>
      <c r="R28" s="79"/>
    </row>
    <row r="29" spans="1:18" ht="12.75" customHeight="1">
      <c r="A29" s="90" t="str">
        <f>IF(B29&lt;&gt;"",MAX(A$28:A28)+1,IF(ISNA(HLOOKUP(DATE(YEAR($C$21),MONTH(C29),DAY(C29)),$C$21:$N$21,1,0)),"",MAX(A$28:A28)+1))</f>
        <v/>
      </c>
      <c r="B29" s="91" t="str">
        <f>IF(C29&lt;$K$16,"",IF(ISNA(HLOOKUP(DATE(YEAR($C$20),MONTH($C29),DAY($C29)),$C$20:$N$20,1,0)),"",MAX(B$28:B28)+1))</f>
        <v/>
      </c>
      <c r="C29" s="106">
        <f>DATE(YEAR(C28),MONTH(C28)+1,1)-1</f>
        <v>42035</v>
      </c>
      <c r="D29" s="795">
        <f t="shared" ref="D29:D92" si="8">D28-G28</f>
        <v>48800</v>
      </c>
      <c r="E29" s="795" t="str">
        <f>IF($A29="","",IF($A29=1,D$29*$F29*($C29-$C$28)/$K$17,
(D29*ROUND(($C29-VLOOKUP($A29-1,$A$28:$C29,3,0))/30,0)/12*$F29)
))</f>
        <v/>
      </c>
      <c r="F29" s="107">
        <f t="shared" ref="F29:F92" si="9">IF(C29&gt;=$E$16,$E$15,$C$15)</f>
        <v>0.06</v>
      </c>
      <c r="G29" s="795">
        <f t="shared" si="5"/>
        <v>0</v>
      </c>
      <c r="H29" s="795">
        <f t="shared" ref="H29:H92" si="10">IF(B29="",0,MIN(D29,$E$14*$K$15/$H$16))</f>
        <v>0</v>
      </c>
      <c r="I29" s="795">
        <f t="shared" ref="I29:I92" si="11">IF(B29="",0,MIN(D28,IF(C29&gt;$E$16,$H$18,$H$15)/$H$16-E29))</f>
        <v>0</v>
      </c>
      <c r="J29" s="795">
        <f t="shared" ref="J29:J92" si="12">SUM(E29,G29)</f>
        <v>0</v>
      </c>
      <c r="K29" s="108">
        <f t="shared" si="6"/>
        <v>2015</v>
      </c>
      <c r="L29" s="92" t="str">
        <f t="shared" si="7"/>
        <v/>
      </c>
      <c r="M29" s="79"/>
      <c r="N29" s="80"/>
      <c r="O29" s="79"/>
      <c r="P29" s="82"/>
      <c r="Q29" s="79"/>
      <c r="R29" s="79"/>
    </row>
    <row r="30" spans="1:18" ht="12.75" customHeight="1">
      <c r="A30" s="90" t="str">
        <f>IF(B30&lt;&gt;"",MAX(A$28:A29)+1,IF(ISNA(HLOOKUP(DATE(YEAR($C$21),MONTH(C30),DAY(C30)),$C$21:$N$21,1,0)),"",MAX(A$28:A29)+1))</f>
        <v/>
      </c>
      <c r="B30" s="91" t="str">
        <f>IF(C30&lt;$K$16,"",IF(ISNA(HLOOKUP(DATE(YEAR($C$20),MONTH($C30),DAY($C30)),$C$20:$N$20,1,0)),"",MAX(B$28:B29)+1))</f>
        <v/>
      </c>
      <c r="C30" s="106">
        <f t="shared" ref="C30:C93" si="13">DATE(YEAR(C29),MONTH(C29)+2,1)-1</f>
        <v>42063</v>
      </c>
      <c r="D30" s="795">
        <f t="shared" si="8"/>
        <v>48800</v>
      </c>
      <c r="E30" s="795" t="str">
        <f>IF($A30="","",IF($A30=1,D$29*$F30*($C30-$C$28)/$K$17,
(D30*ROUND(($C30-VLOOKUP($A30-1,$A$28:$C30,3,0))/30,0)/12*$F30)
))</f>
        <v/>
      </c>
      <c r="F30" s="107">
        <f t="shared" si="9"/>
        <v>0.06</v>
      </c>
      <c r="G30" s="795">
        <f t="shared" si="5"/>
        <v>0</v>
      </c>
      <c r="H30" s="795">
        <f t="shared" si="10"/>
        <v>0</v>
      </c>
      <c r="I30" s="795">
        <f t="shared" si="11"/>
        <v>0</v>
      </c>
      <c r="J30" s="795">
        <f t="shared" si="12"/>
        <v>0</v>
      </c>
      <c r="K30" s="108">
        <f t="shared" si="6"/>
        <v>2015</v>
      </c>
      <c r="L30" s="92" t="str">
        <f t="shared" si="7"/>
        <v/>
      </c>
      <c r="M30" s="79"/>
      <c r="N30" s="80"/>
      <c r="O30" s="79"/>
      <c r="P30" s="82"/>
      <c r="Q30" s="79"/>
      <c r="R30" s="79"/>
    </row>
    <row r="31" spans="1:18" ht="12.75" customHeight="1">
      <c r="A31" s="90">
        <f>IF(B31&lt;&gt;"",MAX(A$28:A30)+1,IF(ISNA(HLOOKUP(DATE(YEAR($C$21),MONTH(C31),DAY(C31)),$C$21:$N$21,1,0)),"",MAX(A$28:A30)+1))</f>
        <v>1</v>
      </c>
      <c r="B31" s="91" t="str">
        <f>IF(C31&lt;$K$16,"",IF(ISNA(HLOOKUP(DATE(YEAR($C$20),MONTH($C31),DAY($C31)),$C$20:$N$20,1,0)),"",MAX(B$28:B30)+1))</f>
        <v/>
      </c>
      <c r="C31" s="106">
        <f t="shared" si="13"/>
        <v>42094</v>
      </c>
      <c r="D31" s="795">
        <f t="shared" si="8"/>
        <v>48800</v>
      </c>
      <c r="E31" s="795">
        <f>IF($A31="","",IF($A31=1,D$29*$F31*($C31-$C$28)/$K$17,
(D31*ROUND(($C31-VLOOKUP($A31-1,$A$28:$C31,3,0))/30,0)/12*$F31)
))</f>
        <v>723.86666666666667</v>
      </c>
      <c r="F31" s="107">
        <f t="shared" si="9"/>
        <v>0.06</v>
      </c>
      <c r="G31" s="795">
        <f t="shared" si="5"/>
        <v>0</v>
      </c>
      <c r="H31" s="795">
        <f t="shared" si="10"/>
        <v>0</v>
      </c>
      <c r="I31" s="795">
        <f t="shared" si="11"/>
        <v>0</v>
      </c>
      <c r="J31" s="795">
        <f t="shared" si="12"/>
        <v>723.86666666666667</v>
      </c>
      <c r="K31" s="108">
        <f t="shared" si="6"/>
        <v>2015</v>
      </c>
      <c r="L31" s="92" t="str">
        <f t="shared" si="7"/>
        <v/>
      </c>
      <c r="M31" s="79"/>
      <c r="N31" s="80"/>
      <c r="O31" s="79"/>
      <c r="P31" s="82"/>
      <c r="Q31" s="79"/>
      <c r="R31" s="79"/>
    </row>
    <row r="32" spans="1:18" ht="12.75" customHeight="1">
      <c r="A32" s="90" t="str">
        <f>IF(B32&lt;&gt;"",MAX(A$28:A31)+1,IF(ISNA(HLOOKUP(DATE(YEAR($C$21),MONTH(C32),DAY(C32)),$C$21:$N$21,1,0)),"",MAX(A$28:A31)+1))</f>
        <v/>
      </c>
      <c r="B32" s="91" t="str">
        <f>IF(C32&lt;$K$16,"",IF(ISNA(HLOOKUP(DATE(YEAR($C$20),MONTH($C32),DAY($C32)),$C$20:$N$20,1,0)),"",MAX(B$28:B31)+1))</f>
        <v/>
      </c>
      <c r="C32" s="106">
        <f t="shared" si="13"/>
        <v>42124</v>
      </c>
      <c r="D32" s="795">
        <f t="shared" si="8"/>
        <v>48800</v>
      </c>
      <c r="E32" s="795" t="str">
        <f>IF($A32="","",IF($A32=1,D$29*$F32*($C32-$C$28)/$K$17,
(D32*ROUND(($C32-VLOOKUP($A32-1,$A$28:$C32,3,0))/30,0)/12*$F32)
))</f>
        <v/>
      </c>
      <c r="F32" s="107">
        <f t="shared" si="9"/>
        <v>0.06</v>
      </c>
      <c r="G32" s="795">
        <f t="shared" si="5"/>
        <v>0</v>
      </c>
      <c r="H32" s="795">
        <f t="shared" si="10"/>
        <v>0</v>
      </c>
      <c r="I32" s="795">
        <f t="shared" si="11"/>
        <v>0</v>
      </c>
      <c r="J32" s="795">
        <f t="shared" si="12"/>
        <v>0</v>
      </c>
      <c r="K32" s="108">
        <f t="shared" si="6"/>
        <v>2015</v>
      </c>
      <c r="L32" s="92" t="str">
        <f t="shared" si="7"/>
        <v/>
      </c>
      <c r="M32" s="79"/>
      <c r="N32" s="80"/>
      <c r="O32" s="79"/>
      <c r="P32" s="82"/>
      <c r="Q32" s="79"/>
      <c r="R32" s="79"/>
    </row>
    <row r="33" spans="1:18" ht="12.75" customHeight="1">
      <c r="A33" s="90" t="str">
        <f>IF(B33&lt;&gt;"",MAX(A$28:A32)+1,IF(ISNA(HLOOKUP(DATE(YEAR($C$21),MONTH(C33),DAY(C33)),$C$21:$N$21,1,0)),"",MAX(A$28:A32)+1))</f>
        <v/>
      </c>
      <c r="B33" s="91" t="str">
        <f>IF(C33&lt;$K$16,"",IF(ISNA(HLOOKUP(DATE(YEAR($C$20),MONTH($C33),DAY($C33)),$C$20:$N$20,1,0)),"",MAX(B$28:B32)+1))</f>
        <v/>
      </c>
      <c r="C33" s="106">
        <f t="shared" si="13"/>
        <v>42155</v>
      </c>
      <c r="D33" s="795">
        <f t="shared" si="8"/>
        <v>48800</v>
      </c>
      <c r="E33" s="795" t="str">
        <f>IF($A33="","",IF($A33=1,D$29*$F33*($C33-$C$28)/$K$17,
(D33*ROUND(($C33-VLOOKUP($A33-1,$A$28:$C33,3,0))/30,0)/12*$F33)
))</f>
        <v/>
      </c>
      <c r="F33" s="107">
        <f t="shared" si="9"/>
        <v>0.06</v>
      </c>
      <c r="G33" s="795">
        <f t="shared" si="5"/>
        <v>0</v>
      </c>
      <c r="H33" s="795">
        <f t="shared" si="10"/>
        <v>0</v>
      </c>
      <c r="I33" s="795">
        <f t="shared" si="11"/>
        <v>0</v>
      </c>
      <c r="J33" s="795">
        <f t="shared" si="12"/>
        <v>0</v>
      </c>
      <c r="K33" s="108">
        <f t="shared" si="6"/>
        <v>2015</v>
      </c>
      <c r="L33" s="92" t="str">
        <f t="shared" si="7"/>
        <v/>
      </c>
      <c r="M33" s="79"/>
      <c r="N33" s="80"/>
      <c r="O33" s="79"/>
      <c r="P33" s="82"/>
      <c r="Q33" s="79"/>
      <c r="R33" s="79"/>
    </row>
    <row r="34" spans="1:18" ht="12.75" customHeight="1">
      <c r="A34" s="90">
        <f>IF(B34&lt;&gt;"",MAX(A$28:A33)+1,IF(ISNA(HLOOKUP(DATE(YEAR($C$21),MONTH(C34),DAY(C34)),$C$21:$N$21,1,0)),"",MAX(A$28:A33)+1))</f>
        <v>2</v>
      </c>
      <c r="B34" s="91" t="str">
        <f>IF(C34&lt;$K$16,"",IF(ISNA(HLOOKUP(DATE(YEAR($C$20),MONTH($C34),DAY($C34)),$C$20:$N$20,1,0)),"",MAX(B$28:B33)+1))</f>
        <v/>
      </c>
      <c r="C34" s="106">
        <f t="shared" si="13"/>
        <v>42185</v>
      </c>
      <c r="D34" s="795">
        <f t="shared" si="8"/>
        <v>48800</v>
      </c>
      <c r="E34" s="795">
        <f>IF($A34="","",IF($A34=1,D$29*$F34*($C34-$C$28)/$K$17,
(D34*ROUND(($C34-VLOOKUP($A34-1,$A$28:$C34,3,0))/30,0)/12*$F34)
))</f>
        <v>732</v>
      </c>
      <c r="F34" s="107">
        <f t="shared" si="9"/>
        <v>0.06</v>
      </c>
      <c r="G34" s="795">
        <f t="shared" si="5"/>
        <v>0</v>
      </c>
      <c r="H34" s="795">
        <f t="shared" si="10"/>
        <v>0</v>
      </c>
      <c r="I34" s="795">
        <f t="shared" si="11"/>
        <v>0</v>
      </c>
      <c r="J34" s="795">
        <f t="shared" si="12"/>
        <v>732</v>
      </c>
      <c r="K34" s="108">
        <f t="shared" si="6"/>
        <v>2015</v>
      </c>
      <c r="L34" s="92" t="str">
        <f t="shared" si="7"/>
        <v/>
      </c>
      <c r="M34" s="79"/>
      <c r="N34" s="80"/>
      <c r="O34" s="79"/>
      <c r="P34" s="82"/>
      <c r="Q34" s="79"/>
      <c r="R34" s="79"/>
    </row>
    <row r="35" spans="1:18" ht="12.75" customHeight="1">
      <c r="A35" s="90" t="str">
        <f>IF(B35&lt;&gt;"",MAX(A$28:A34)+1,IF(ISNA(HLOOKUP(DATE(YEAR($C$21),MONTH(C35),DAY(C35)),$C$21:$N$21,1,0)),"",MAX(A$28:A34)+1))</f>
        <v/>
      </c>
      <c r="B35" s="91" t="str">
        <f>IF(C35&lt;$K$16,"",IF(ISNA(HLOOKUP(DATE(YEAR($C$20),MONTH($C35),DAY($C35)),$C$20:$N$20,1,0)),"",MAX(B$28:B34)+1))</f>
        <v/>
      </c>
      <c r="C35" s="106">
        <f t="shared" si="13"/>
        <v>42216</v>
      </c>
      <c r="D35" s="795">
        <f t="shared" si="8"/>
        <v>48800</v>
      </c>
      <c r="E35" s="795" t="str">
        <f>IF($A35="","",IF($A35=1,D$29*$F35*($C35-$C$28)/$K$17,
(D35*ROUND(($C35-VLOOKUP($A35-1,$A$28:$C35,3,0))/30,0)/12*$F35)
))</f>
        <v/>
      </c>
      <c r="F35" s="107">
        <f t="shared" si="9"/>
        <v>0.06</v>
      </c>
      <c r="G35" s="795">
        <f t="shared" si="5"/>
        <v>0</v>
      </c>
      <c r="H35" s="795">
        <f t="shared" si="10"/>
        <v>0</v>
      </c>
      <c r="I35" s="795">
        <f t="shared" si="11"/>
        <v>0</v>
      </c>
      <c r="J35" s="795">
        <f t="shared" si="12"/>
        <v>0</v>
      </c>
      <c r="K35" s="108">
        <f t="shared" si="6"/>
        <v>2015</v>
      </c>
      <c r="L35" s="92" t="str">
        <f t="shared" si="7"/>
        <v/>
      </c>
      <c r="M35" s="79"/>
      <c r="N35" s="80"/>
      <c r="O35" s="79"/>
      <c r="P35" s="82"/>
      <c r="Q35" s="79"/>
      <c r="R35" s="79"/>
    </row>
    <row r="36" spans="1:18" ht="12.75" customHeight="1">
      <c r="A36" s="90" t="str">
        <f>IF(B36&lt;&gt;"",MAX(A$28:A35)+1,IF(ISNA(HLOOKUP(DATE(YEAR($C$21),MONTH(C36),DAY(C36)),$C$21:$N$21,1,0)),"",MAX(A$28:A35)+1))</f>
        <v/>
      </c>
      <c r="B36" s="91" t="str">
        <f>IF(C36&lt;$K$16,"",IF(ISNA(HLOOKUP(DATE(YEAR($C$20),MONTH($C36),DAY($C36)),$C$20:$N$20,1,0)),"",MAX(B$28:B35)+1))</f>
        <v/>
      </c>
      <c r="C36" s="106">
        <f t="shared" si="13"/>
        <v>42247</v>
      </c>
      <c r="D36" s="795">
        <f t="shared" si="8"/>
        <v>48800</v>
      </c>
      <c r="E36" s="795" t="str">
        <f>IF($A36="","",IF($A36=1,D$29*$F36*($C36-$C$28)/$K$17,
(D36*ROUND(($C36-VLOOKUP($A36-1,$A$28:$C36,3,0))/30,0)/12*$F36)
))</f>
        <v/>
      </c>
      <c r="F36" s="107">
        <f t="shared" si="9"/>
        <v>0.06</v>
      </c>
      <c r="G36" s="795">
        <f t="shared" si="5"/>
        <v>0</v>
      </c>
      <c r="H36" s="795">
        <f t="shared" si="10"/>
        <v>0</v>
      </c>
      <c r="I36" s="795">
        <f t="shared" si="11"/>
        <v>0</v>
      </c>
      <c r="J36" s="795">
        <f t="shared" si="12"/>
        <v>0</v>
      </c>
      <c r="K36" s="108">
        <f t="shared" si="6"/>
        <v>2015</v>
      </c>
      <c r="L36" s="92" t="str">
        <f t="shared" si="7"/>
        <v/>
      </c>
      <c r="M36" s="79"/>
      <c r="N36" s="80"/>
      <c r="O36" s="79"/>
      <c r="P36" s="82"/>
      <c r="Q36" s="79"/>
      <c r="R36" s="79"/>
    </row>
    <row r="37" spans="1:18" ht="12.75" customHeight="1">
      <c r="A37" s="90">
        <f>IF(B37&lt;&gt;"",MAX(A$28:A36)+1,IF(ISNA(HLOOKUP(DATE(YEAR($C$21),MONTH(C37),DAY(C37)),$C$21:$N$21,1,0)),"",MAX(A$28:A36)+1))</f>
        <v>3</v>
      </c>
      <c r="B37" s="91" t="str">
        <f>IF(C37&lt;$K$16,"",IF(ISNA(HLOOKUP(DATE(YEAR($C$20),MONTH($C37),DAY($C37)),$C$20:$N$20,1,0)),"",MAX(B$28:B36)+1))</f>
        <v/>
      </c>
      <c r="C37" s="106">
        <f t="shared" si="13"/>
        <v>42277</v>
      </c>
      <c r="D37" s="795">
        <f t="shared" si="8"/>
        <v>48800</v>
      </c>
      <c r="E37" s="795">
        <f>IF($A37="","",IF($A37=1,D$29*$F37*($C37-$C$28)/$K$17,
(D37*ROUND(($C37-VLOOKUP($A37-1,$A$28:$C37,3,0))/30,0)/12*$F37)
))</f>
        <v>732</v>
      </c>
      <c r="F37" s="107">
        <f t="shared" si="9"/>
        <v>0.06</v>
      </c>
      <c r="G37" s="795">
        <f t="shared" si="5"/>
        <v>0</v>
      </c>
      <c r="H37" s="795">
        <f t="shared" si="10"/>
        <v>0</v>
      </c>
      <c r="I37" s="795">
        <f t="shared" si="11"/>
        <v>0</v>
      </c>
      <c r="J37" s="795">
        <f t="shared" si="12"/>
        <v>732</v>
      </c>
      <c r="K37" s="108">
        <f t="shared" si="6"/>
        <v>2015</v>
      </c>
      <c r="L37" s="92" t="str">
        <f t="shared" si="7"/>
        <v/>
      </c>
      <c r="M37" s="79"/>
      <c r="N37" s="80"/>
      <c r="O37" s="79"/>
      <c r="P37" s="82"/>
      <c r="Q37" s="79"/>
      <c r="R37" s="79"/>
    </row>
    <row r="38" spans="1:18" ht="12.75" customHeight="1">
      <c r="A38" s="90" t="str">
        <f>IF(B38&lt;&gt;"",MAX(A$28:A37)+1,IF(ISNA(HLOOKUP(DATE(YEAR($C$21),MONTH(C38),DAY(C38)),$C$21:$N$21,1,0)),"",MAX(A$28:A37)+1))</f>
        <v/>
      </c>
      <c r="B38" s="91" t="str">
        <f>IF(C38&lt;$K$16,"",IF(ISNA(HLOOKUP(DATE(YEAR($C$20),MONTH($C38),DAY($C38)),$C$20:$N$20,1,0)),"",MAX(B$28:B37)+1))</f>
        <v/>
      </c>
      <c r="C38" s="106">
        <f t="shared" si="13"/>
        <v>42308</v>
      </c>
      <c r="D38" s="795">
        <f t="shared" si="8"/>
        <v>48800</v>
      </c>
      <c r="E38" s="795" t="str">
        <f>IF($A38="","",IF($A38=1,D$29*$F38*($C38-$C$28)/$K$17,
(D38*ROUND(($C38-VLOOKUP($A38-1,$A$28:$C38,3,0))/30,0)/12*$F38)
))</f>
        <v/>
      </c>
      <c r="F38" s="107">
        <f t="shared" si="9"/>
        <v>0.06</v>
      </c>
      <c r="G38" s="795">
        <f t="shared" si="5"/>
        <v>0</v>
      </c>
      <c r="H38" s="795">
        <f t="shared" si="10"/>
        <v>0</v>
      </c>
      <c r="I38" s="795">
        <f t="shared" si="11"/>
        <v>0</v>
      </c>
      <c r="J38" s="795">
        <f t="shared" si="12"/>
        <v>0</v>
      </c>
      <c r="K38" s="108">
        <f t="shared" si="6"/>
        <v>2015</v>
      </c>
      <c r="L38" s="92" t="str">
        <f t="shared" si="7"/>
        <v/>
      </c>
      <c r="M38" s="79"/>
      <c r="N38" s="80"/>
      <c r="O38" s="79"/>
      <c r="P38" s="82"/>
      <c r="Q38" s="79"/>
      <c r="R38" s="79"/>
    </row>
    <row r="39" spans="1:18" ht="12.75" customHeight="1">
      <c r="A39" s="90" t="str">
        <f>IF(B39&lt;&gt;"",MAX(A$28:A38)+1,IF(ISNA(HLOOKUP(DATE(YEAR($C$21),MONTH(C39),DAY(C39)),$C$21:$N$21,1,0)),"",MAX(A$28:A38)+1))</f>
        <v/>
      </c>
      <c r="B39" s="91" t="str">
        <f>IF(C39&lt;$K$16,"",IF(ISNA(HLOOKUP(DATE(YEAR($C$20),MONTH($C39),DAY($C39)),$C$20:$N$20,1,0)),"",MAX(B$28:B38)+1))</f>
        <v/>
      </c>
      <c r="C39" s="106">
        <f t="shared" si="13"/>
        <v>42338</v>
      </c>
      <c r="D39" s="795">
        <f t="shared" si="8"/>
        <v>48800</v>
      </c>
      <c r="E39" s="795" t="str">
        <f>IF($A39="","",IF($A39=1,D$29*$F39*($C39-$C$28)/$K$17,
(D39*ROUND(($C39-VLOOKUP($A39-1,$A$28:$C39,3,0))/30,0)/12*$F39)
))</f>
        <v/>
      </c>
      <c r="F39" s="107">
        <f t="shared" si="9"/>
        <v>0.06</v>
      </c>
      <c r="G39" s="795">
        <f t="shared" si="5"/>
        <v>0</v>
      </c>
      <c r="H39" s="795">
        <f t="shared" si="10"/>
        <v>0</v>
      </c>
      <c r="I39" s="795">
        <f t="shared" si="11"/>
        <v>0</v>
      </c>
      <c r="J39" s="795">
        <f t="shared" si="12"/>
        <v>0</v>
      </c>
      <c r="K39" s="108">
        <f t="shared" si="6"/>
        <v>2015</v>
      </c>
      <c r="L39" s="92" t="str">
        <f t="shared" si="7"/>
        <v/>
      </c>
      <c r="M39" s="79"/>
      <c r="N39" s="80"/>
      <c r="O39" s="79"/>
      <c r="P39" s="82"/>
      <c r="Q39" s="79"/>
      <c r="R39" s="79"/>
    </row>
    <row r="40" spans="1:18" ht="12.75" customHeight="1">
      <c r="A40" s="90">
        <f>IF(B40&lt;&gt;"",MAX(A$28:A39)+1,IF(ISNA(HLOOKUP(DATE(YEAR($C$21),MONTH(C40),DAY(C40)),$C$21:$N$21,1,0)),"",MAX(A$28:A39)+1))</f>
        <v>4</v>
      </c>
      <c r="B40" s="91" t="str">
        <f>IF(C40&lt;$K$16,"",IF(ISNA(HLOOKUP(DATE(YEAR($C$20),MONTH($C40),DAY($C40)),$C$20:$N$20,1,0)),"",MAX(B$28:B39)+1))</f>
        <v/>
      </c>
      <c r="C40" s="106">
        <f t="shared" si="13"/>
        <v>42369</v>
      </c>
      <c r="D40" s="795">
        <f t="shared" si="8"/>
        <v>48800</v>
      </c>
      <c r="E40" s="795">
        <f>IF($A40="","",IF($A40=1,D$29*$F40*($C40-$C$28)/$K$17,
(D40*ROUND(($C40-VLOOKUP($A40-1,$A$28:$C40,3,0))/30,0)/12*$F40)
))</f>
        <v>732</v>
      </c>
      <c r="F40" s="107">
        <f t="shared" si="9"/>
        <v>0.06</v>
      </c>
      <c r="G40" s="795">
        <f t="shared" si="5"/>
        <v>0</v>
      </c>
      <c r="H40" s="795">
        <f t="shared" si="10"/>
        <v>0</v>
      </c>
      <c r="I40" s="795">
        <f t="shared" si="11"/>
        <v>0</v>
      </c>
      <c r="J40" s="795">
        <f t="shared" si="12"/>
        <v>732</v>
      </c>
      <c r="K40" s="108">
        <f t="shared" si="6"/>
        <v>2015</v>
      </c>
      <c r="L40" s="92" t="str">
        <f t="shared" si="7"/>
        <v/>
      </c>
      <c r="M40" s="79"/>
      <c r="N40" s="80"/>
      <c r="O40" s="79"/>
      <c r="P40" s="82"/>
      <c r="Q40" s="79"/>
      <c r="R40" s="79"/>
    </row>
    <row r="41" spans="1:18" ht="12.75" customHeight="1">
      <c r="A41" s="90" t="str">
        <f>IF(B41&lt;&gt;"",MAX(A$28:A40)+1,IF(ISNA(HLOOKUP(DATE(YEAR($C$21),MONTH(C41),DAY(C41)),$C$21:$N$21,1,0)),"",MAX(A$28:A40)+1))</f>
        <v/>
      </c>
      <c r="B41" s="91" t="str">
        <f>IF(C41&lt;$K$16,"",IF(ISNA(HLOOKUP(DATE(YEAR($C$20),MONTH($C41),DAY($C41)),$C$20:$N$20,1,0)),"",MAX(B$28:B40)+1))</f>
        <v/>
      </c>
      <c r="C41" s="106">
        <f t="shared" si="13"/>
        <v>42400</v>
      </c>
      <c r="D41" s="795">
        <f t="shared" si="8"/>
        <v>48800</v>
      </c>
      <c r="E41" s="795" t="str">
        <f>IF($A41="","",IF($A41=1,D$29*$F41*($C41-$C$28)/$K$17,
(D41*ROUND(($C41-VLOOKUP($A41-1,$A$28:$C41,3,0))/30,0)/12*$F41)
))</f>
        <v/>
      </c>
      <c r="F41" s="107">
        <f t="shared" si="9"/>
        <v>0.06</v>
      </c>
      <c r="G41" s="795">
        <f t="shared" si="5"/>
        <v>0</v>
      </c>
      <c r="H41" s="795">
        <f t="shared" si="10"/>
        <v>0</v>
      </c>
      <c r="I41" s="795">
        <f t="shared" si="11"/>
        <v>0</v>
      </c>
      <c r="J41" s="795">
        <f t="shared" si="12"/>
        <v>0</v>
      </c>
      <c r="K41" s="108">
        <f t="shared" si="6"/>
        <v>2016</v>
      </c>
      <c r="L41" s="92" t="str">
        <f t="shared" si="7"/>
        <v/>
      </c>
      <c r="M41" s="79"/>
      <c r="N41" s="80"/>
      <c r="O41" s="79"/>
      <c r="P41" s="82"/>
      <c r="Q41" s="79"/>
      <c r="R41" s="79"/>
    </row>
    <row r="42" spans="1:18" ht="12.75" customHeight="1">
      <c r="A42" s="90" t="str">
        <f>IF(B42&lt;&gt;"",MAX(A$28:A41)+1,IF(ISNA(HLOOKUP(DATE(YEAR($C$21),MONTH(C42),DAY(C42)),$C$21:$N$21,1,0)),"",MAX(A$28:A41)+1))</f>
        <v/>
      </c>
      <c r="B42" s="91" t="str">
        <f>IF(C42&lt;$K$16,"",IF(ISNA(HLOOKUP(DATE(YEAR($C$20),MONTH($C42),DAY($C42)),$C$20:$N$20,1,0)),"",MAX(B$28:B41)+1))</f>
        <v/>
      </c>
      <c r="C42" s="106">
        <f t="shared" si="13"/>
        <v>42429</v>
      </c>
      <c r="D42" s="795">
        <f t="shared" si="8"/>
        <v>48800</v>
      </c>
      <c r="E42" s="795" t="str">
        <f>IF($A42="","",IF($A42=1,D$29*$F42*($C42-$C$28)/$K$17,
(D42*ROUND(($C42-VLOOKUP($A42-1,$A$28:$C42,3,0))/30,0)/12*$F42)
))</f>
        <v/>
      </c>
      <c r="F42" s="107">
        <f t="shared" si="9"/>
        <v>0.06</v>
      </c>
      <c r="G42" s="795">
        <f t="shared" si="5"/>
        <v>0</v>
      </c>
      <c r="H42" s="795">
        <f t="shared" si="10"/>
        <v>0</v>
      </c>
      <c r="I42" s="795">
        <f t="shared" si="11"/>
        <v>0</v>
      </c>
      <c r="J42" s="795">
        <f t="shared" si="12"/>
        <v>0</v>
      </c>
      <c r="K42" s="108">
        <f t="shared" si="6"/>
        <v>2016</v>
      </c>
      <c r="L42" s="92" t="str">
        <f t="shared" si="7"/>
        <v/>
      </c>
      <c r="M42" s="79"/>
      <c r="N42" s="80"/>
      <c r="O42" s="79"/>
      <c r="P42" s="82"/>
      <c r="Q42" s="79"/>
      <c r="R42" s="79"/>
    </row>
    <row r="43" spans="1:18" ht="12.75" customHeight="1">
      <c r="A43" s="90">
        <f>IF(B43&lt;&gt;"",MAX(A$28:A42)+1,IF(ISNA(HLOOKUP(DATE(YEAR($C$21),MONTH(C43),DAY(C43)),$C$21:$N$21,1,0)),"",MAX(A$28:A42)+1))</f>
        <v>5</v>
      </c>
      <c r="B43" s="91" t="str">
        <f>IF(C43&lt;$K$16,"",IF(ISNA(HLOOKUP(DATE(YEAR($C$20),MONTH($C43),DAY($C43)),$C$20:$N$20,1,0)),"",MAX(B$28:B42)+1))</f>
        <v/>
      </c>
      <c r="C43" s="106">
        <f t="shared" si="13"/>
        <v>42460</v>
      </c>
      <c r="D43" s="795">
        <f t="shared" si="8"/>
        <v>48800</v>
      </c>
      <c r="E43" s="795">
        <f>IF($A43="","",IF($A43=1,D$29*$F43*($C43-$C$28)/$K$17,
(D43*ROUND(($C43-VLOOKUP($A43-1,$A$28:$C43,3,0))/30,0)/12*$F43)
))</f>
        <v>732</v>
      </c>
      <c r="F43" s="107">
        <f t="shared" si="9"/>
        <v>0.06</v>
      </c>
      <c r="G43" s="795">
        <f t="shared" si="5"/>
        <v>0</v>
      </c>
      <c r="H43" s="795">
        <f t="shared" si="10"/>
        <v>0</v>
      </c>
      <c r="I43" s="795">
        <f t="shared" si="11"/>
        <v>0</v>
      </c>
      <c r="J43" s="795">
        <f t="shared" si="12"/>
        <v>732</v>
      </c>
      <c r="K43" s="108">
        <f t="shared" si="6"/>
        <v>2016</v>
      </c>
      <c r="L43" s="92" t="str">
        <f t="shared" si="7"/>
        <v/>
      </c>
      <c r="M43" s="79"/>
      <c r="N43" s="80"/>
      <c r="O43" s="79"/>
      <c r="P43" s="82"/>
      <c r="Q43" s="79"/>
      <c r="R43" s="79"/>
    </row>
    <row r="44" spans="1:18" ht="12.75" customHeight="1">
      <c r="A44" s="90" t="str">
        <f>IF(B44&lt;&gt;"",MAX(A$28:A43)+1,IF(ISNA(HLOOKUP(DATE(YEAR($C$21),MONTH(C44),DAY(C44)),$C$21:$N$21,1,0)),"",MAX(A$28:A43)+1))</f>
        <v/>
      </c>
      <c r="B44" s="91" t="str">
        <f>IF(C44&lt;$K$16,"",IF(ISNA(HLOOKUP(DATE(YEAR($C$20),MONTH($C44),DAY($C44)),$C$20:$N$20,1,0)),"",MAX(B$28:B43)+1))</f>
        <v/>
      </c>
      <c r="C44" s="106">
        <f t="shared" si="13"/>
        <v>42490</v>
      </c>
      <c r="D44" s="795">
        <f t="shared" si="8"/>
        <v>48800</v>
      </c>
      <c r="E44" s="795" t="str">
        <f>IF($A44="","",IF($A44=1,D$29*$F44*($C44-$C$28)/$K$17,
(D44*ROUND(($C44-VLOOKUP($A44-1,$A$28:$C44,3,0))/30,0)/12*$F44)
))</f>
        <v/>
      </c>
      <c r="F44" s="107">
        <f t="shared" si="9"/>
        <v>0.06</v>
      </c>
      <c r="G44" s="795">
        <f t="shared" si="5"/>
        <v>0</v>
      </c>
      <c r="H44" s="795">
        <f t="shared" si="10"/>
        <v>0</v>
      </c>
      <c r="I44" s="795">
        <f t="shared" si="11"/>
        <v>0</v>
      </c>
      <c r="J44" s="795">
        <f t="shared" si="12"/>
        <v>0</v>
      </c>
      <c r="K44" s="108">
        <f t="shared" si="6"/>
        <v>2016</v>
      </c>
      <c r="L44" s="92" t="str">
        <f t="shared" si="7"/>
        <v/>
      </c>
      <c r="M44" s="79"/>
      <c r="N44" s="80"/>
      <c r="O44" s="79"/>
      <c r="P44" s="82"/>
      <c r="Q44" s="79"/>
      <c r="R44" s="79"/>
    </row>
    <row r="45" spans="1:18" ht="12.75" customHeight="1">
      <c r="A45" s="90" t="str">
        <f>IF(B45&lt;&gt;"",MAX(A$28:A44)+1,IF(ISNA(HLOOKUP(DATE(YEAR($C$21),MONTH(C45),DAY(C45)),$C$21:$N$21,1,0)),"",MAX(A$28:A44)+1))</f>
        <v/>
      </c>
      <c r="B45" s="91" t="str">
        <f>IF(C45&lt;$K$16,"",IF(ISNA(HLOOKUP(DATE(YEAR($C$20),MONTH($C45),DAY($C45)),$C$20:$N$20,1,0)),"",MAX(B$28:B44)+1))</f>
        <v/>
      </c>
      <c r="C45" s="106">
        <f t="shared" si="13"/>
        <v>42521</v>
      </c>
      <c r="D45" s="795">
        <f t="shared" si="8"/>
        <v>48800</v>
      </c>
      <c r="E45" s="795" t="str">
        <f>IF($A45="","",IF($A45=1,D$29*$F45*($C45-$C$28)/$K$17,
(D45*ROUND(($C45-VLOOKUP($A45-1,$A$28:$C45,3,0))/30,0)/12*$F45)
))</f>
        <v/>
      </c>
      <c r="F45" s="107">
        <f t="shared" si="9"/>
        <v>0.06</v>
      </c>
      <c r="G45" s="795">
        <f t="shared" si="5"/>
        <v>0</v>
      </c>
      <c r="H45" s="795">
        <f t="shared" si="10"/>
        <v>0</v>
      </c>
      <c r="I45" s="795">
        <f t="shared" si="11"/>
        <v>0</v>
      </c>
      <c r="J45" s="795">
        <f t="shared" si="12"/>
        <v>0</v>
      </c>
      <c r="K45" s="108">
        <f t="shared" si="6"/>
        <v>2016</v>
      </c>
      <c r="L45" s="92" t="str">
        <f t="shared" si="7"/>
        <v/>
      </c>
      <c r="M45" s="79"/>
      <c r="N45" s="80"/>
      <c r="O45" s="79"/>
      <c r="P45" s="82"/>
      <c r="Q45" s="79"/>
      <c r="R45" s="79"/>
    </row>
    <row r="46" spans="1:18" ht="12.75" customHeight="1">
      <c r="A46" s="90">
        <f>IF(B46&lt;&gt;"",MAX(A$28:A45)+1,IF(ISNA(HLOOKUP(DATE(YEAR($C$21),MONTH(C46),DAY(C46)),$C$21:$N$21,1,0)),"",MAX(A$28:A45)+1))</f>
        <v>6</v>
      </c>
      <c r="B46" s="91" t="str">
        <f>IF(C46&lt;$K$16,"",IF(ISNA(HLOOKUP(DATE(YEAR($C$20),MONTH($C46),DAY($C46)),$C$20:$N$20,1,0)),"",MAX(B$28:B45)+1))</f>
        <v/>
      </c>
      <c r="C46" s="106">
        <f t="shared" si="13"/>
        <v>42551</v>
      </c>
      <c r="D46" s="795">
        <f t="shared" si="8"/>
        <v>48800</v>
      </c>
      <c r="E46" s="795">
        <f>IF($A46="","",IF($A46=1,D$29*$F46*($C46-$C$28)/$K$17,
(D46*ROUND(($C46-VLOOKUP($A46-1,$A$28:$C46,3,0))/30,0)/12*$F46)
))</f>
        <v>732</v>
      </c>
      <c r="F46" s="107">
        <f t="shared" si="9"/>
        <v>0.06</v>
      </c>
      <c r="G46" s="795">
        <f t="shared" si="5"/>
        <v>0</v>
      </c>
      <c r="H46" s="795">
        <f t="shared" si="10"/>
        <v>0</v>
      </c>
      <c r="I46" s="795">
        <f t="shared" si="11"/>
        <v>0</v>
      </c>
      <c r="J46" s="795">
        <f t="shared" si="12"/>
        <v>732</v>
      </c>
      <c r="K46" s="108">
        <f t="shared" si="6"/>
        <v>2016</v>
      </c>
      <c r="L46" s="92" t="str">
        <f t="shared" si="7"/>
        <v/>
      </c>
      <c r="M46" s="79"/>
      <c r="N46" s="80"/>
      <c r="O46" s="79"/>
      <c r="P46" s="82"/>
      <c r="Q46" s="79"/>
      <c r="R46" s="79"/>
    </row>
    <row r="47" spans="1:18" ht="12.75" customHeight="1">
      <c r="A47" s="90" t="str">
        <f>IF(B47&lt;&gt;"",MAX(A$28:A46)+1,IF(ISNA(HLOOKUP(DATE(YEAR($C$21),MONTH(C47),DAY(C47)),$C$21:$N$21,1,0)),"",MAX(A$28:A46)+1))</f>
        <v/>
      </c>
      <c r="B47" s="91" t="str">
        <f>IF(C47&lt;$K$16,"",IF(ISNA(HLOOKUP(DATE(YEAR($C$20),MONTH($C47),DAY($C47)),$C$20:$N$20,1,0)),"",MAX(B$28:B46)+1))</f>
        <v/>
      </c>
      <c r="C47" s="106">
        <f t="shared" si="13"/>
        <v>42582</v>
      </c>
      <c r="D47" s="795">
        <f t="shared" si="8"/>
        <v>48800</v>
      </c>
      <c r="E47" s="795" t="str">
        <f>IF($A47="","",IF($A47=1,D$29*$F47*($C47-$C$28)/$K$17,
(D47*ROUND(($C47-VLOOKUP($A47-1,$A$28:$C47,3,0))/30,0)/12*$F47)
))</f>
        <v/>
      </c>
      <c r="F47" s="107">
        <f t="shared" si="9"/>
        <v>0.06</v>
      </c>
      <c r="G47" s="795">
        <f t="shared" si="5"/>
        <v>0</v>
      </c>
      <c r="H47" s="795">
        <f t="shared" si="10"/>
        <v>0</v>
      </c>
      <c r="I47" s="795">
        <f t="shared" si="11"/>
        <v>0</v>
      </c>
      <c r="J47" s="795">
        <f t="shared" si="12"/>
        <v>0</v>
      </c>
      <c r="K47" s="108">
        <f t="shared" si="6"/>
        <v>2016</v>
      </c>
      <c r="L47" s="92" t="str">
        <f t="shared" si="7"/>
        <v/>
      </c>
      <c r="M47" s="79"/>
      <c r="N47" s="80"/>
      <c r="O47" s="79"/>
      <c r="P47" s="82"/>
      <c r="Q47" s="79"/>
      <c r="R47" s="79"/>
    </row>
    <row r="48" spans="1:18" ht="12.75" customHeight="1">
      <c r="A48" s="90" t="str">
        <f>IF(B48&lt;&gt;"",MAX(A$28:A47)+1,IF(ISNA(HLOOKUP(DATE(YEAR($C$21),MONTH(C48),DAY(C48)),$C$21:$N$21,1,0)),"",MAX(A$28:A47)+1))</f>
        <v/>
      </c>
      <c r="B48" s="91" t="str">
        <f>IF(C48&lt;$K$16,"",IF(ISNA(HLOOKUP(DATE(YEAR($C$20),MONTH($C48),DAY($C48)),$C$20:$N$20,1,0)),"",MAX(B$28:B47)+1))</f>
        <v/>
      </c>
      <c r="C48" s="106">
        <f t="shared" si="13"/>
        <v>42613</v>
      </c>
      <c r="D48" s="795">
        <f t="shared" si="8"/>
        <v>48800</v>
      </c>
      <c r="E48" s="795" t="str">
        <f>IF($A48="","",IF($A48=1,D$29*$F48*($C48-$C$28)/$K$17,
(D48*ROUND(($C48-VLOOKUP($A48-1,$A$28:$C48,3,0))/30,0)/12*$F48)
))</f>
        <v/>
      </c>
      <c r="F48" s="107">
        <f t="shared" si="9"/>
        <v>0.06</v>
      </c>
      <c r="G48" s="795">
        <f t="shared" si="5"/>
        <v>0</v>
      </c>
      <c r="H48" s="795">
        <f t="shared" si="10"/>
        <v>0</v>
      </c>
      <c r="I48" s="795">
        <f t="shared" si="11"/>
        <v>0</v>
      </c>
      <c r="J48" s="795">
        <f t="shared" si="12"/>
        <v>0</v>
      </c>
      <c r="K48" s="108">
        <f t="shared" si="6"/>
        <v>2016</v>
      </c>
      <c r="L48" s="92" t="str">
        <f t="shared" si="7"/>
        <v/>
      </c>
      <c r="M48" s="79"/>
      <c r="N48" s="80"/>
      <c r="O48" s="79"/>
      <c r="P48" s="82"/>
      <c r="Q48" s="79"/>
      <c r="R48" s="79"/>
    </row>
    <row r="49" spans="1:18" ht="12.75" customHeight="1">
      <c r="A49" s="90">
        <f>IF(B49&lt;&gt;"",MAX(A$28:A48)+1,IF(ISNA(HLOOKUP(DATE(YEAR($C$21),MONTH(C49),DAY(C49)),$C$21:$N$21,1,0)),"",MAX(A$28:A48)+1))</f>
        <v>7</v>
      </c>
      <c r="B49" s="91" t="str">
        <f>IF(C49&lt;$K$16,"",IF(ISNA(HLOOKUP(DATE(YEAR($C$20),MONTH($C49),DAY($C49)),$C$20:$N$20,1,0)),"",MAX(B$28:B48)+1))</f>
        <v/>
      </c>
      <c r="C49" s="106">
        <f t="shared" si="13"/>
        <v>42643</v>
      </c>
      <c r="D49" s="795">
        <f t="shared" si="8"/>
        <v>48800</v>
      </c>
      <c r="E49" s="795">
        <f>IF($A49="","",IF($A49=1,D$29*$F49*($C49-$C$28)/$K$17,
(D49*ROUND(($C49-VLOOKUP($A49-1,$A$28:$C49,3,0))/30,0)/12*$F49)
))</f>
        <v>732</v>
      </c>
      <c r="F49" s="107">
        <f t="shared" si="9"/>
        <v>0.06</v>
      </c>
      <c r="G49" s="795">
        <f t="shared" si="5"/>
        <v>0</v>
      </c>
      <c r="H49" s="795">
        <f t="shared" si="10"/>
        <v>0</v>
      </c>
      <c r="I49" s="795">
        <f t="shared" si="11"/>
        <v>0</v>
      </c>
      <c r="J49" s="795">
        <f t="shared" si="12"/>
        <v>732</v>
      </c>
      <c r="K49" s="108">
        <f t="shared" si="6"/>
        <v>2016</v>
      </c>
      <c r="L49" s="92" t="str">
        <f t="shared" si="7"/>
        <v/>
      </c>
      <c r="M49" s="79"/>
      <c r="N49" s="80"/>
      <c r="O49" s="79"/>
      <c r="P49" s="82"/>
      <c r="Q49" s="79"/>
      <c r="R49" s="79"/>
    </row>
    <row r="50" spans="1:18" ht="12.75" customHeight="1">
      <c r="A50" s="90" t="str">
        <f>IF(B50&lt;&gt;"",MAX(A$28:A49)+1,IF(ISNA(HLOOKUP(DATE(YEAR($C$21),MONTH(C50),DAY(C50)),$C$21:$N$21,1,0)),"",MAX(A$28:A49)+1))</f>
        <v/>
      </c>
      <c r="B50" s="91" t="str">
        <f>IF(C50&lt;$K$16,"",IF(ISNA(HLOOKUP(DATE(YEAR($C$20),MONTH($C50),DAY($C50)),$C$20:$N$20,1,0)),"",MAX(B$28:B49)+1))</f>
        <v/>
      </c>
      <c r="C50" s="106">
        <f t="shared" si="13"/>
        <v>42674</v>
      </c>
      <c r="D50" s="795">
        <f t="shared" si="8"/>
        <v>48800</v>
      </c>
      <c r="E50" s="795" t="str">
        <f>IF($A50="","",IF($A50=1,D$29*$F50*($C50-$C$28)/$K$17,
(D50*ROUND(($C50-VLOOKUP($A50-1,$A$28:$C50,3,0))/30,0)/12*$F50)
))</f>
        <v/>
      </c>
      <c r="F50" s="107">
        <f t="shared" si="9"/>
        <v>0.06</v>
      </c>
      <c r="G50" s="795">
        <f t="shared" si="5"/>
        <v>0</v>
      </c>
      <c r="H50" s="795">
        <f t="shared" si="10"/>
        <v>0</v>
      </c>
      <c r="I50" s="795">
        <f t="shared" si="11"/>
        <v>0</v>
      </c>
      <c r="J50" s="795">
        <f t="shared" si="12"/>
        <v>0</v>
      </c>
      <c r="K50" s="108">
        <f t="shared" si="6"/>
        <v>2016</v>
      </c>
      <c r="L50" s="92" t="str">
        <f t="shared" si="7"/>
        <v/>
      </c>
      <c r="M50" s="79"/>
      <c r="N50" s="80"/>
      <c r="O50" s="79"/>
      <c r="P50" s="82"/>
      <c r="Q50" s="79"/>
      <c r="R50" s="79"/>
    </row>
    <row r="51" spans="1:18" ht="12.75" customHeight="1">
      <c r="A51" s="90" t="str">
        <f>IF(B51&lt;&gt;"",MAX(A$28:A50)+1,IF(ISNA(HLOOKUP(DATE(YEAR($C$21),MONTH(C51),DAY(C51)),$C$21:$N$21,1,0)),"",MAX(A$28:A50)+1))</f>
        <v/>
      </c>
      <c r="B51" s="91" t="str">
        <f>IF(C51&lt;$K$16,"",IF(ISNA(HLOOKUP(DATE(YEAR($C$20),MONTH($C51),DAY($C51)),$C$20:$N$20,1,0)),"",MAX(B$28:B50)+1))</f>
        <v/>
      </c>
      <c r="C51" s="106">
        <f t="shared" si="13"/>
        <v>42704</v>
      </c>
      <c r="D51" s="795">
        <f t="shared" si="8"/>
        <v>48800</v>
      </c>
      <c r="E51" s="795" t="str">
        <f>IF($A51="","",IF($A51=1,D$29*$F51*($C51-$C$28)/$K$17,
(D51*ROUND(($C51-VLOOKUP($A51-1,$A$28:$C51,3,0))/30,0)/12*$F51)
))</f>
        <v/>
      </c>
      <c r="F51" s="107">
        <f t="shared" si="9"/>
        <v>0.06</v>
      </c>
      <c r="G51" s="795">
        <f t="shared" si="5"/>
        <v>0</v>
      </c>
      <c r="H51" s="795">
        <f t="shared" si="10"/>
        <v>0</v>
      </c>
      <c r="I51" s="795">
        <f t="shared" si="11"/>
        <v>0</v>
      </c>
      <c r="J51" s="795">
        <f t="shared" si="12"/>
        <v>0</v>
      </c>
      <c r="K51" s="108">
        <f t="shared" si="6"/>
        <v>2016</v>
      </c>
      <c r="L51" s="92" t="str">
        <f t="shared" si="7"/>
        <v/>
      </c>
      <c r="M51" s="79"/>
      <c r="N51" s="80"/>
      <c r="O51" s="79"/>
      <c r="P51" s="82"/>
      <c r="Q51" s="79"/>
      <c r="R51" s="79"/>
    </row>
    <row r="52" spans="1:18" ht="12.75" customHeight="1">
      <c r="A52" s="90">
        <f>IF(B52&lt;&gt;"",MAX(A$28:A51)+1,IF(ISNA(HLOOKUP(DATE(YEAR($C$21),MONTH(C52),DAY(C52)),$C$21:$N$21,1,0)),"",MAX(A$28:A51)+1))</f>
        <v>8</v>
      </c>
      <c r="B52" s="91" t="str">
        <f>IF(C52&lt;$K$16,"",IF(ISNA(HLOOKUP(DATE(YEAR($C$20),MONTH($C52),DAY($C52)),$C$20:$N$20,1,0)),"",MAX(B$28:B51)+1))</f>
        <v/>
      </c>
      <c r="C52" s="106">
        <f t="shared" si="13"/>
        <v>42735</v>
      </c>
      <c r="D52" s="795">
        <f t="shared" si="8"/>
        <v>48800</v>
      </c>
      <c r="E52" s="795">
        <f>IF($A52="","",IF($A52=1,D$29*$F52*($C52-$C$28)/$K$17,
(D52*ROUND(($C52-VLOOKUP($A52-1,$A$28:$C52,3,0))/30,0)/12*$F52)
))</f>
        <v>732</v>
      </c>
      <c r="F52" s="107">
        <f t="shared" si="9"/>
        <v>0.06</v>
      </c>
      <c r="G52" s="795">
        <f t="shared" si="5"/>
        <v>0</v>
      </c>
      <c r="H52" s="795">
        <f t="shared" si="10"/>
        <v>0</v>
      </c>
      <c r="I52" s="795">
        <f t="shared" si="11"/>
        <v>0</v>
      </c>
      <c r="J52" s="795">
        <f t="shared" si="12"/>
        <v>732</v>
      </c>
      <c r="K52" s="108">
        <f t="shared" si="6"/>
        <v>2016</v>
      </c>
      <c r="L52" s="92" t="str">
        <f t="shared" si="7"/>
        <v/>
      </c>
      <c r="M52" s="79"/>
      <c r="N52" s="80"/>
      <c r="O52" s="79"/>
      <c r="P52" s="82"/>
      <c r="Q52" s="79"/>
      <c r="R52" s="79"/>
    </row>
    <row r="53" spans="1:18" ht="12.75" customHeight="1">
      <c r="A53" s="90" t="str">
        <f>IF(B53&lt;&gt;"",MAX(A$28:A52)+1,IF(ISNA(HLOOKUP(DATE(YEAR($C$21),MONTH(C53),DAY(C53)),$C$21:$N$21,1,0)),"",MAX(A$28:A52)+1))</f>
        <v/>
      </c>
      <c r="B53" s="91" t="str">
        <f>IF(C53&lt;$K$16,"",IF(ISNA(HLOOKUP(DATE(YEAR($C$20),MONTH($C53),DAY($C53)),$C$20:$N$20,1,0)),"",MAX(B$28:B52)+1))</f>
        <v/>
      </c>
      <c r="C53" s="106">
        <f t="shared" si="13"/>
        <v>42766</v>
      </c>
      <c r="D53" s="795">
        <f t="shared" si="8"/>
        <v>48800</v>
      </c>
      <c r="E53" s="795" t="str">
        <f>IF($A53="","",IF($A53=1,D$29*$F53*($C53-$C$28)/$K$17,
(D53*ROUND(($C53-VLOOKUP($A53-1,$A$28:$C53,3,0))/30,0)/12*$F53)
))</f>
        <v/>
      </c>
      <c r="F53" s="107">
        <f t="shared" si="9"/>
        <v>0.06</v>
      </c>
      <c r="G53" s="795">
        <f t="shared" si="5"/>
        <v>0</v>
      </c>
      <c r="H53" s="795">
        <f t="shared" si="10"/>
        <v>0</v>
      </c>
      <c r="I53" s="795">
        <f t="shared" si="11"/>
        <v>0</v>
      </c>
      <c r="J53" s="795">
        <f t="shared" si="12"/>
        <v>0</v>
      </c>
      <c r="K53" s="108">
        <f t="shared" si="6"/>
        <v>2017</v>
      </c>
      <c r="L53" s="92" t="str">
        <f t="shared" si="7"/>
        <v/>
      </c>
      <c r="M53" s="79"/>
      <c r="N53" s="80"/>
      <c r="O53" s="79"/>
      <c r="P53" s="82"/>
      <c r="Q53" s="79"/>
      <c r="R53" s="79"/>
    </row>
    <row r="54" spans="1:18" ht="12.75" customHeight="1">
      <c r="A54" s="90" t="str">
        <f>IF(B54&lt;&gt;"",MAX(A$28:A53)+1,IF(ISNA(HLOOKUP(DATE(YEAR($C$21),MONTH(C54),DAY(C54)),$C$21:$N$21,1,0)),"",MAX(A$28:A53)+1))</f>
        <v/>
      </c>
      <c r="B54" s="91" t="str">
        <f>IF(C54&lt;$K$16,"",IF(ISNA(HLOOKUP(DATE(YEAR($C$20),MONTH($C54),DAY($C54)),$C$20:$N$20,1,0)),"",MAX(B$28:B53)+1))</f>
        <v/>
      </c>
      <c r="C54" s="106">
        <f t="shared" si="13"/>
        <v>42794</v>
      </c>
      <c r="D54" s="795">
        <f t="shared" si="8"/>
        <v>48800</v>
      </c>
      <c r="E54" s="795" t="str">
        <f>IF($A54="","",IF($A54=1,D$29*$F54*($C54-$C$28)/$K$17,
(D54*ROUND(($C54-VLOOKUP($A54-1,$A$28:$C54,3,0))/30,0)/12*$F54)
))</f>
        <v/>
      </c>
      <c r="F54" s="107">
        <f t="shared" si="9"/>
        <v>0.06</v>
      </c>
      <c r="G54" s="795">
        <f t="shared" si="5"/>
        <v>0</v>
      </c>
      <c r="H54" s="795">
        <f t="shared" si="10"/>
        <v>0</v>
      </c>
      <c r="I54" s="795">
        <f t="shared" si="11"/>
        <v>0</v>
      </c>
      <c r="J54" s="795">
        <f t="shared" si="12"/>
        <v>0</v>
      </c>
      <c r="K54" s="108">
        <f t="shared" si="6"/>
        <v>2017</v>
      </c>
      <c r="L54" s="92" t="str">
        <f t="shared" si="7"/>
        <v/>
      </c>
      <c r="M54" s="79"/>
      <c r="N54" s="80"/>
      <c r="O54" s="79"/>
      <c r="P54" s="82"/>
      <c r="Q54" s="79"/>
      <c r="R54" s="79"/>
    </row>
    <row r="55" spans="1:18" ht="12.75" customHeight="1">
      <c r="A55" s="90">
        <f>IF(B55&lt;&gt;"",MAX(A$28:A54)+1,IF(ISNA(HLOOKUP(DATE(YEAR($C$21),MONTH(C55),DAY(C55)),$C$21:$N$21,1,0)),"",MAX(A$28:A54)+1))</f>
        <v>9</v>
      </c>
      <c r="B55" s="91" t="str">
        <f>IF(C55&lt;$K$16,"",IF(ISNA(HLOOKUP(DATE(YEAR($C$20),MONTH($C55),DAY($C55)),$C$20:$N$20,1,0)),"",MAX(B$28:B54)+1))</f>
        <v/>
      </c>
      <c r="C55" s="106">
        <f t="shared" si="13"/>
        <v>42825</v>
      </c>
      <c r="D55" s="795">
        <f t="shared" si="8"/>
        <v>48800</v>
      </c>
      <c r="E55" s="795">
        <f>IF($A55="","",IF($A55=1,D$29*$F55*($C55-$C$28)/$K$17,
(D55*ROUND(($C55-VLOOKUP($A55-1,$A$28:$C55,3,0))/30,0)/12*$F55)
))</f>
        <v>732</v>
      </c>
      <c r="F55" s="107">
        <f t="shared" si="9"/>
        <v>0.06</v>
      </c>
      <c r="G55" s="795">
        <f t="shared" si="5"/>
        <v>0</v>
      </c>
      <c r="H55" s="795">
        <f t="shared" si="10"/>
        <v>0</v>
      </c>
      <c r="I55" s="795">
        <f t="shared" si="11"/>
        <v>0</v>
      </c>
      <c r="J55" s="795">
        <f t="shared" si="12"/>
        <v>732</v>
      </c>
      <c r="K55" s="108">
        <f t="shared" si="6"/>
        <v>2017</v>
      </c>
      <c r="L55" s="92" t="str">
        <f t="shared" si="7"/>
        <v/>
      </c>
      <c r="M55" s="79"/>
      <c r="N55" s="80"/>
      <c r="O55" s="79"/>
      <c r="P55" s="82"/>
      <c r="Q55" s="79"/>
      <c r="R55" s="79"/>
    </row>
    <row r="56" spans="1:18" ht="12.75" customHeight="1">
      <c r="A56" s="90" t="str">
        <f>IF(B56&lt;&gt;"",MAX(A$28:A55)+1,IF(ISNA(HLOOKUP(DATE(YEAR($C$21),MONTH(C56),DAY(C56)),$C$21:$N$21,1,0)),"",MAX(A$28:A55)+1))</f>
        <v/>
      </c>
      <c r="B56" s="91" t="str">
        <f>IF(C56&lt;$K$16,"",IF(ISNA(HLOOKUP(DATE(YEAR($C$20),MONTH($C56),DAY($C56)),$C$20:$N$20,1,0)),"",MAX(B$28:B55)+1))</f>
        <v/>
      </c>
      <c r="C56" s="106">
        <f t="shared" si="13"/>
        <v>42855</v>
      </c>
      <c r="D56" s="795">
        <f t="shared" si="8"/>
        <v>48800</v>
      </c>
      <c r="E56" s="795" t="str">
        <f>IF($A56="","",IF($A56=1,D$29*$F56*($C56-$C$28)/$K$17,
(D56*ROUND(($C56-VLOOKUP($A56-1,$A$28:$C56,3,0))/30,0)/12*$F56)
))</f>
        <v/>
      </c>
      <c r="F56" s="107">
        <f t="shared" si="9"/>
        <v>0.06</v>
      </c>
      <c r="G56" s="795">
        <f t="shared" si="5"/>
        <v>0</v>
      </c>
      <c r="H56" s="795">
        <f t="shared" si="10"/>
        <v>0</v>
      </c>
      <c r="I56" s="795">
        <f t="shared" si="11"/>
        <v>0</v>
      </c>
      <c r="J56" s="795">
        <f t="shared" si="12"/>
        <v>0</v>
      </c>
      <c r="K56" s="108">
        <f t="shared" si="6"/>
        <v>2017</v>
      </c>
      <c r="L56" s="92" t="str">
        <f t="shared" si="7"/>
        <v/>
      </c>
      <c r="M56" s="79"/>
      <c r="N56" s="80"/>
      <c r="O56" s="79"/>
      <c r="P56" s="82"/>
      <c r="Q56" s="79"/>
      <c r="R56" s="79"/>
    </row>
    <row r="57" spans="1:18" ht="12.75" customHeight="1">
      <c r="A57" s="90" t="str">
        <f>IF(B57&lt;&gt;"",MAX(A$28:A56)+1,IF(ISNA(HLOOKUP(DATE(YEAR($C$21),MONTH(C57),DAY(C57)),$C$21:$N$21,1,0)),"",MAX(A$28:A56)+1))</f>
        <v/>
      </c>
      <c r="B57" s="91" t="str">
        <f>IF(C57&lt;$K$16,"",IF(ISNA(HLOOKUP(DATE(YEAR($C$20),MONTH($C57),DAY($C57)),$C$20:$N$20,1,0)),"",MAX(B$28:B56)+1))</f>
        <v/>
      </c>
      <c r="C57" s="106">
        <f t="shared" si="13"/>
        <v>42886</v>
      </c>
      <c r="D57" s="795">
        <f t="shared" si="8"/>
        <v>48800</v>
      </c>
      <c r="E57" s="795" t="str">
        <f>IF($A57="","",IF($A57=1,D$29*$F57*($C57-$C$28)/$K$17,
(D57*ROUND(($C57-VLOOKUP($A57-1,$A$28:$C57,3,0))/30,0)/12*$F57)
))</f>
        <v/>
      </c>
      <c r="F57" s="107">
        <f t="shared" si="9"/>
        <v>0.06</v>
      </c>
      <c r="G57" s="795">
        <f t="shared" si="5"/>
        <v>0</v>
      </c>
      <c r="H57" s="795">
        <f t="shared" si="10"/>
        <v>0</v>
      </c>
      <c r="I57" s="795">
        <f t="shared" si="11"/>
        <v>0</v>
      </c>
      <c r="J57" s="795">
        <f t="shared" si="12"/>
        <v>0</v>
      </c>
      <c r="K57" s="108">
        <f t="shared" si="6"/>
        <v>2017</v>
      </c>
      <c r="L57" s="92" t="str">
        <f t="shared" si="7"/>
        <v/>
      </c>
      <c r="M57" s="79"/>
      <c r="N57" s="80"/>
      <c r="O57" s="79"/>
      <c r="P57" s="82"/>
      <c r="Q57" s="79"/>
      <c r="R57" s="79"/>
    </row>
    <row r="58" spans="1:18" ht="12.75" customHeight="1">
      <c r="A58" s="90">
        <f>IF(B58&lt;&gt;"",MAX(A$28:A57)+1,IF(ISNA(HLOOKUP(DATE(YEAR($C$21),MONTH(C58),DAY(C58)),$C$21:$N$21,1,0)),"",MAX(A$28:A57)+1))</f>
        <v>10</v>
      </c>
      <c r="B58" s="91" t="str">
        <f>IF(C58&lt;$K$16,"",IF(ISNA(HLOOKUP(DATE(YEAR($C$20),MONTH($C58),DAY($C58)),$C$20:$N$20,1,0)),"",MAX(B$28:B57)+1))</f>
        <v/>
      </c>
      <c r="C58" s="106">
        <f t="shared" si="13"/>
        <v>42916</v>
      </c>
      <c r="D58" s="795">
        <f t="shared" si="8"/>
        <v>48800</v>
      </c>
      <c r="E58" s="795">
        <f>IF($A58="","",IF($A58=1,D$29*$F58*($C58-$C$28)/$K$17,
(D58*ROUND(($C58-VLOOKUP($A58-1,$A$28:$C58,3,0))/30,0)/12*$F58)
))</f>
        <v>732</v>
      </c>
      <c r="F58" s="107">
        <f t="shared" si="9"/>
        <v>0.06</v>
      </c>
      <c r="G58" s="795">
        <f t="shared" si="5"/>
        <v>0</v>
      </c>
      <c r="H58" s="795">
        <f t="shared" si="10"/>
        <v>0</v>
      </c>
      <c r="I58" s="795">
        <f t="shared" si="11"/>
        <v>0</v>
      </c>
      <c r="J58" s="795">
        <f t="shared" si="12"/>
        <v>732</v>
      </c>
      <c r="K58" s="108">
        <f t="shared" si="6"/>
        <v>2017</v>
      </c>
      <c r="L58" s="92" t="str">
        <f t="shared" si="7"/>
        <v/>
      </c>
      <c r="M58" s="79"/>
      <c r="N58" s="80"/>
      <c r="O58" s="79"/>
      <c r="P58" s="82"/>
      <c r="Q58" s="79"/>
      <c r="R58" s="79"/>
    </row>
    <row r="59" spans="1:18" ht="12.75" customHeight="1">
      <c r="A59" s="90" t="str">
        <f>IF(B59&lt;&gt;"",MAX(A$28:A58)+1,IF(ISNA(HLOOKUP(DATE(YEAR($C$21),MONTH(C59),DAY(C59)),$C$21:$N$21,1,0)),"",MAX(A$28:A58)+1))</f>
        <v/>
      </c>
      <c r="B59" s="91" t="str">
        <f>IF(C59&lt;$K$16,"",IF(ISNA(HLOOKUP(DATE(YEAR($C$20),MONTH($C59),DAY($C59)),$C$20:$N$20,1,0)),"",MAX(B$28:B58)+1))</f>
        <v/>
      </c>
      <c r="C59" s="106">
        <f t="shared" si="13"/>
        <v>42947</v>
      </c>
      <c r="D59" s="795">
        <f t="shared" si="8"/>
        <v>48800</v>
      </c>
      <c r="E59" s="795" t="str">
        <f>IF($A59="","",IF($A59=1,D$29*$F59*($C59-$C$28)/$K$17,
(D59*ROUND(($C59-VLOOKUP($A59-1,$A$28:$C59,3,0))/30,0)/12*$F59)
))</f>
        <v/>
      </c>
      <c r="F59" s="107">
        <f t="shared" si="9"/>
        <v>0.06</v>
      </c>
      <c r="G59" s="795">
        <f t="shared" si="5"/>
        <v>0</v>
      </c>
      <c r="H59" s="795">
        <f t="shared" si="10"/>
        <v>0</v>
      </c>
      <c r="I59" s="795">
        <f t="shared" si="11"/>
        <v>0</v>
      </c>
      <c r="J59" s="795">
        <f t="shared" si="12"/>
        <v>0</v>
      </c>
      <c r="K59" s="108">
        <f t="shared" si="6"/>
        <v>2017</v>
      </c>
      <c r="L59" s="92" t="str">
        <f t="shared" si="7"/>
        <v/>
      </c>
      <c r="M59" s="79"/>
      <c r="N59" s="80"/>
      <c r="O59" s="79"/>
      <c r="P59" s="82"/>
      <c r="Q59" s="79"/>
      <c r="R59" s="79"/>
    </row>
    <row r="60" spans="1:18" ht="12.75" customHeight="1">
      <c r="A60" s="90" t="str">
        <f>IF(B60&lt;&gt;"",MAX(A$28:A59)+1,IF(ISNA(HLOOKUP(DATE(YEAR($C$21),MONTH(C60),DAY(C60)),$C$21:$N$21,1,0)),"",MAX(A$28:A59)+1))</f>
        <v/>
      </c>
      <c r="B60" s="91" t="str">
        <f>IF(C60&lt;$K$16,"",IF(ISNA(HLOOKUP(DATE(YEAR($C$20),MONTH($C60),DAY($C60)),$C$20:$N$20,1,0)),"",MAX(B$28:B59)+1))</f>
        <v/>
      </c>
      <c r="C60" s="106">
        <f t="shared" si="13"/>
        <v>42978</v>
      </c>
      <c r="D60" s="795">
        <f t="shared" si="8"/>
        <v>48800</v>
      </c>
      <c r="E60" s="795" t="str">
        <f>IF($A60="","",IF($A60=1,D$29*$F60*($C60-$C$28)/$K$17,
(D60*ROUND(($C60-VLOOKUP($A60-1,$A$28:$C60,3,0))/30,0)/12*$F60)
))</f>
        <v/>
      </c>
      <c r="F60" s="107">
        <f t="shared" si="9"/>
        <v>0.06</v>
      </c>
      <c r="G60" s="795">
        <f t="shared" si="5"/>
        <v>0</v>
      </c>
      <c r="H60" s="795">
        <f t="shared" si="10"/>
        <v>0</v>
      </c>
      <c r="I60" s="795">
        <f t="shared" si="11"/>
        <v>0</v>
      </c>
      <c r="J60" s="795">
        <f t="shared" si="12"/>
        <v>0</v>
      </c>
      <c r="K60" s="108">
        <f t="shared" si="6"/>
        <v>2017</v>
      </c>
      <c r="L60" s="92" t="str">
        <f t="shared" si="7"/>
        <v/>
      </c>
      <c r="M60" s="79"/>
      <c r="N60" s="80"/>
      <c r="O60" s="79"/>
      <c r="P60" s="82"/>
      <c r="Q60" s="79"/>
      <c r="R60" s="79"/>
    </row>
    <row r="61" spans="1:18" ht="12.75" customHeight="1">
      <c r="A61" s="90">
        <f>IF(B61&lt;&gt;"",MAX(A$28:A60)+1,IF(ISNA(HLOOKUP(DATE(YEAR($C$21),MONTH(C61),DAY(C61)),$C$21:$N$21,1,0)),"",MAX(A$28:A60)+1))</f>
        <v>11</v>
      </c>
      <c r="B61" s="91" t="str">
        <f>IF(C61&lt;$K$16,"",IF(ISNA(HLOOKUP(DATE(YEAR($C$20),MONTH($C61),DAY($C61)),$C$20:$N$20,1,0)),"",MAX(B$28:B60)+1))</f>
        <v/>
      </c>
      <c r="C61" s="106">
        <f t="shared" si="13"/>
        <v>43008</v>
      </c>
      <c r="D61" s="795">
        <f t="shared" si="8"/>
        <v>48800</v>
      </c>
      <c r="E61" s="795">
        <f>IF($A61="","",IF($A61=1,D$29*$F61*($C61-$C$28)/$K$17,
(D61*ROUND(($C61-VLOOKUP($A61-1,$A$28:$C61,3,0))/30,0)/12*$F61)
))</f>
        <v>732</v>
      </c>
      <c r="F61" s="107">
        <f t="shared" si="9"/>
        <v>0.06</v>
      </c>
      <c r="G61" s="795">
        <f t="shared" si="5"/>
        <v>0</v>
      </c>
      <c r="H61" s="795">
        <f t="shared" si="10"/>
        <v>0</v>
      </c>
      <c r="I61" s="795">
        <f t="shared" si="11"/>
        <v>0</v>
      </c>
      <c r="J61" s="795">
        <f t="shared" si="12"/>
        <v>732</v>
      </c>
      <c r="K61" s="108">
        <f t="shared" si="6"/>
        <v>2017</v>
      </c>
      <c r="L61" s="92" t="str">
        <f t="shared" si="7"/>
        <v/>
      </c>
      <c r="M61" s="79"/>
      <c r="N61" s="80"/>
      <c r="O61" s="79"/>
      <c r="P61" s="82"/>
      <c r="Q61" s="79"/>
      <c r="R61" s="79"/>
    </row>
    <row r="62" spans="1:18" ht="12.75" customHeight="1">
      <c r="A62" s="90" t="str">
        <f>IF(B62&lt;&gt;"",MAX(A$28:A61)+1,IF(ISNA(HLOOKUP(DATE(YEAR($C$21),MONTH(C62),DAY(C62)),$C$21:$N$21,1,0)),"",MAX(A$28:A61)+1))</f>
        <v/>
      </c>
      <c r="B62" s="91" t="str">
        <f>IF(C62&lt;$K$16,"",IF(ISNA(HLOOKUP(DATE(YEAR($C$20),MONTH($C62),DAY($C62)),$C$20:$N$20,1,0)),"",MAX(B$28:B61)+1))</f>
        <v/>
      </c>
      <c r="C62" s="106">
        <f t="shared" si="13"/>
        <v>43039</v>
      </c>
      <c r="D62" s="795">
        <f t="shared" si="8"/>
        <v>48800</v>
      </c>
      <c r="E62" s="795" t="str">
        <f>IF($A62="","",IF($A62=1,D$29*$F62*($C62-$C$28)/$K$17,
(D62*ROUND(($C62-VLOOKUP($A62-1,$A$28:$C62,3,0))/30,0)/12*$F62)
))</f>
        <v/>
      </c>
      <c r="F62" s="107">
        <f t="shared" si="9"/>
        <v>0.06</v>
      </c>
      <c r="G62" s="795">
        <f t="shared" si="5"/>
        <v>0</v>
      </c>
      <c r="H62" s="795">
        <f t="shared" si="10"/>
        <v>0</v>
      </c>
      <c r="I62" s="795">
        <f t="shared" si="11"/>
        <v>0</v>
      </c>
      <c r="J62" s="795">
        <f t="shared" si="12"/>
        <v>0</v>
      </c>
      <c r="K62" s="108">
        <f t="shared" si="6"/>
        <v>2017</v>
      </c>
      <c r="L62" s="92" t="str">
        <f t="shared" si="7"/>
        <v/>
      </c>
      <c r="M62" s="79"/>
      <c r="N62" s="80"/>
      <c r="O62" s="79"/>
      <c r="P62" s="82"/>
      <c r="Q62" s="79"/>
      <c r="R62" s="79"/>
    </row>
    <row r="63" spans="1:18" ht="12.75" customHeight="1">
      <c r="A63" s="90" t="str">
        <f>IF(B63&lt;&gt;"",MAX(A$28:A62)+1,IF(ISNA(HLOOKUP(DATE(YEAR($C$21),MONTH(C63),DAY(C63)),$C$21:$N$21,1,0)),"",MAX(A$28:A62)+1))</f>
        <v/>
      </c>
      <c r="B63" s="91" t="str">
        <f>IF(C63&lt;$K$16,"",IF(ISNA(HLOOKUP(DATE(YEAR($C$20),MONTH($C63),DAY($C63)),$C$20:$N$20,1,0)),"",MAX(B$28:B62)+1))</f>
        <v/>
      </c>
      <c r="C63" s="106">
        <f t="shared" si="13"/>
        <v>43069</v>
      </c>
      <c r="D63" s="795">
        <f t="shared" si="8"/>
        <v>48800</v>
      </c>
      <c r="E63" s="795" t="str">
        <f>IF($A63="","",IF($A63=1,D$29*$F63*($C63-$C$28)/$K$17,
(D63*ROUND(($C63-VLOOKUP($A63-1,$A$28:$C63,3,0))/30,0)/12*$F63)
))</f>
        <v/>
      </c>
      <c r="F63" s="107">
        <f t="shared" si="9"/>
        <v>0.06</v>
      </c>
      <c r="G63" s="795">
        <f t="shared" si="5"/>
        <v>0</v>
      </c>
      <c r="H63" s="795">
        <f t="shared" si="10"/>
        <v>0</v>
      </c>
      <c r="I63" s="795">
        <f t="shared" si="11"/>
        <v>0</v>
      </c>
      <c r="J63" s="795">
        <f t="shared" si="12"/>
        <v>0</v>
      </c>
      <c r="K63" s="108">
        <f t="shared" si="6"/>
        <v>2017</v>
      </c>
      <c r="L63" s="92" t="str">
        <f t="shared" si="7"/>
        <v/>
      </c>
      <c r="M63" s="79"/>
      <c r="N63" s="80"/>
      <c r="O63" s="79"/>
      <c r="P63" s="82"/>
      <c r="Q63" s="79"/>
      <c r="R63" s="79"/>
    </row>
    <row r="64" spans="1:18" ht="12.75" customHeight="1">
      <c r="A64" s="90">
        <f>IF(B64&lt;&gt;"",MAX(A$28:A63)+1,IF(ISNA(HLOOKUP(DATE(YEAR($C$21),MONTH(C64),DAY(C64)),$C$21:$N$21,1,0)),"",MAX(A$28:A63)+1))</f>
        <v>12</v>
      </c>
      <c r="B64" s="91" t="str">
        <f>IF(C64&lt;$K$16,"",IF(ISNA(HLOOKUP(DATE(YEAR($C$20),MONTH($C64),DAY($C64)),$C$20:$N$20,1,0)),"",MAX(B$28:B63)+1))</f>
        <v/>
      </c>
      <c r="C64" s="106">
        <f t="shared" si="13"/>
        <v>43100</v>
      </c>
      <c r="D64" s="795">
        <f t="shared" si="8"/>
        <v>48800</v>
      </c>
      <c r="E64" s="795">
        <f>IF($A64="","",IF($A64=1,D$29*$F64*($C64-$C$28)/$K$17,
(D64*ROUND(($C64-VLOOKUP($A64-1,$A$28:$C64,3,0))/30,0)/12*$F64)
))</f>
        <v>732</v>
      </c>
      <c r="F64" s="107">
        <f t="shared" si="9"/>
        <v>0.06</v>
      </c>
      <c r="G64" s="795">
        <f t="shared" si="5"/>
        <v>0</v>
      </c>
      <c r="H64" s="795">
        <f t="shared" si="10"/>
        <v>0</v>
      </c>
      <c r="I64" s="795">
        <f t="shared" si="11"/>
        <v>0</v>
      </c>
      <c r="J64" s="795">
        <f t="shared" si="12"/>
        <v>732</v>
      </c>
      <c r="K64" s="108">
        <f t="shared" si="6"/>
        <v>2017</v>
      </c>
      <c r="L64" s="92" t="str">
        <f t="shared" si="7"/>
        <v/>
      </c>
      <c r="M64" s="79"/>
      <c r="N64" s="80"/>
      <c r="O64" s="79"/>
      <c r="P64" s="82"/>
      <c r="Q64" s="79"/>
      <c r="R64" s="79"/>
    </row>
    <row r="65" spans="1:18" ht="12.75" customHeight="1">
      <c r="A65" s="90" t="str">
        <f>IF(B65&lt;&gt;"",MAX(A$28:A64)+1,IF(ISNA(HLOOKUP(DATE(YEAR($C$21),MONTH(C65),DAY(C65)),$C$21:$N$21,1,0)),"",MAX(A$28:A64)+1))</f>
        <v/>
      </c>
      <c r="B65" s="91" t="str">
        <f>IF(C65&lt;$K$16,"",IF(ISNA(HLOOKUP(DATE(YEAR($C$20),MONTH($C65),DAY($C65)),$C$20:$N$20,1,0)),"",MAX(B$28:B64)+1))</f>
        <v/>
      </c>
      <c r="C65" s="106">
        <f t="shared" si="13"/>
        <v>43131</v>
      </c>
      <c r="D65" s="795">
        <f t="shared" si="8"/>
        <v>48800</v>
      </c>
      <c r="E65" s="795" t="str">
        <f>IF($A65="","",IF($A65=1,D$29*$F65*($C65-$C$28)/$K$17,
(D65*ROUND(($C65-VLOOKUP($A65-1,$A$28:$C65,3,0))/30,0)/12*$F65)
))</f>
        <v/>
      </c>
      <c r="F65" s="107">
        <f t="shared" si="9"/>
        <v>0.06</v>
      </c>
      <c r="G65" s="795">
        <f t="shared" si="5"/>
        <v>0</v>
      </c>
      <c r="H65" s="795">
        <f t="shared" si="10"/>
        <v>0</v>
      </c>
      <c r="I65" s="795">
        <f t="shared" si="11"/>
        <v>0</v>
      </c>
      <c r="J65" s="795">
        <f t="shared" si="12"/>
        <v>0</v>
      </c>
      <c r="K65" s="108">
        <f t="shared" si="6"/>
        <v>2018</v>
      </c>
      <c r="L65" s="92" t="str">
        <f t="shared" si="7"/>
        <v/>
      </c>
      <c r="M65" s="79"/>
      <c r="N65" s="80"/>
      <c r="O65" s="79"/>
      <c r="P65" s="82"/>
      <c r="Q65" s="79"/>
      <c r="R65" s="79"/>
    </row>
    <row r="66" spans="1:18" ht="12.75" customHeight="1">
      <c r="A66" s="90" t="str">
        <f>IF(B66&lt;&gt;"",MAX(A$28:A65)+1,IF(ISNA(HLOOKUP(DATE(YEAR($C$21),MONTH(C66),DAY(C66)),$C$21:$N$21,1,0)),"",MAX(A$28:A65)+1))</f>
        <v/>
      </c>
      <c r="B66" s="91" t="str">
        <f>IF(C66&lt;$K$16,"",IF(ISNA(HLOOKUP(DATE(YEAR($C$20),MONTH($C66),DAY($C66)),$C$20:$N$20,1,0)),"",MAX(B$28:B65)+1))</f>
        <v/>
      </c>
      <c r="C66" s="106">
        <f t="shared" si="13"/>
        <v>43159</v>
      </c>
      <c r="D66" s="795">
        <f t="shared" si="8"/>
        <v>48800</v>
      </c>
      <c r="E66" s="795" t="str">
        <f>IF($A66="","",IF($A66=1,D$29*$F66*($C66-$C$28)/$K$17,
(D66*ROUND(($C66-VLOOKUP($A66-1,$A$28:$C66,3,0))/30,0)/12*$F66)
))</f>
        <v/>
      </c>
      <c r="F66" s="107">
        <f t="shared" si="9"/>
        <v>0.06</v>
      </c>
      <c r="G66" s="795">
        <f t="shared" si="5"/>
        <v>0</v>
      </c>
      <c r="H66" s="795">
        <f t="shared" si="10"/>
        <v>0</v>
      </c>
      <c r="I66" s="795">
        <f t="shared" si="11"/>
        <v>0</v>
      </c>
      <c r="J66" s="795">
        <f t="shared" si="12"/>
        <v>0</v>
      </c>
      <c r="K66" s="108">
        <f t="shared" si="6"/>
        <v>2018</v>
      </c>
      <c r="L66" s="92" t="str">
        <f t="shared" si="7"/>
        <v/>
      </c>
      <c r="M66" s="79"/>
      <c r="N66" s="80"/>
      <c r="O66" s="79"/>
      <c r="P66" s="82"/>
      <c r="Q66" s="79"/>
      <c r="R66" s="79"/>
    </row>
    <row r="67" spans="1:18" ht="12.75" customHeight="1">
      <c r="A67" s="90">
        <f>IF(B67&lt;&gt;"",MAX(A$28:A66)+1,IF(ISNA(HLOOKUP(DATE(YEAR($C$21),MONTH(C67),DAY(C67)),$C$21:$N$21,1,0)),"",MAX(A$28:A66)+1))</f>
        <v>13</v>
      </c>
      <c r="B67" s="91">
        <f>IF(C67&lt;$K$16,"",IF(ISNA(HLOOKUP(DATE(YEAR($C$20),MONTH($C67),DAY($C67)),$C$20:$N$20,1,0)),"",MAX(B$28:B66)+1))</f>
        <v>1</v>
      </c>
      <c r="C67" s="106">
        <f t="shared" si="13"/>
        <v>43190</v>
      </c>
      <c r="D67" s="795">
        <f t="shared" si="8"/>
        <v>48800</v>
      </c>
      <c r="E67" s="795">
        <f>IF($A67="","",IF($A67=1,D$29*$F67*($C67-$C$28)/$K$17,
(D67*ROUND(($C67-VLOOKUP($A67-1,$A$28:$C67,3,0))/30,0)/12*$F67)
))</f>
        <v>732</v>
      </c>
      <c r="F67" s="107">
        <f t="shared" si="9"/>
        <v>0.06</v>
      </c>
      <c r="G67" s="795">
        <f t="shared" si="5"/>
        <v>432.42661162490867</v>
      </c>
      <c r="H67" s="795">
        <f t="shared" si="10"/>
        <v>717.64705882352939</v>
      </c>
      <c r="I67" s="795">
        <f t="shared" si="11"/>
        <v>432.42661162490867</v>
      </c>
      <c r="J67" s="795">
        <f t="shared" si="12"/>
        <v>1164.4266116249087</v>
      </c>
      <c r="K67" s="108">
        <f t="shared" si="6"/>
        <v>2018</v>
      </c>
      <c r="L67" s="92" t="str">
        <f t="shared" si="7"/>
        <v/>
      </c>
      <c r="M67" s="79"/>
      <c r="N67" s="80"/>
      <c r="O67" s="79"/>
      <c r="P67" s="82"/>
      <c r="Q67" s="79"/>
      <c r="R67" s="79"/>
    </row>
    <row r="68" spans="1:18" ht="12.75" customHeight="1">
      <c r="A68" s="90" t="str">
        <f>IF(B68&lt;&gt;"",MAX(A$28:A67)+1,IF(ISNA(HLOOKUP(DATE(YEAR($C$21),MONTH(C68),DAY(C68)),$C$21:$N$21,1,0)),"",MAX(A$28:A67)+1))</f>
        <v/>
      </c>
      <c r="B68" s="91" t="str">
        <f>IF(C68&lt;$K$16,"",IF(ISNA(HLOOKUP(DATE(YEAR($C$20),MONTH($C68),DAY($C68)),$C$20:$N$20,1,0)),"",MAX(B$28:B67)+1))</f>
        <v/>
      </c>
      <c r="C68" s="106">
        <f t="shared" si="13"/>
        <v>43220</v>
      </c>
      <c r="D68" s="795">
        <f t="shared" si="8"/>
        <v>48367.573388375095</v>
      </c>
      <c r="E68" s="795" t="str">
        <f>IF($A68="","",IF($A68=1,D$29*$F68*($C68-$C$28)/$K$17,
(D68*ROUND(($C68-VLOOKUP($A68-1,$A$28:$C68,3,0))/30,0)/12*$F68)
))</f>
        <v/>
      </c>
      <c r="F68" s="107">
        <f t="shared" si="9"/>
        <v>0.06</v>
      </c>
      <c r="G68" s="795">
        <f t="shared" si="5"/>
        <v>0</v>
      </c>
      <c r="H68" s="795">
        <f t="shared" si="10"/>
        <v>0</v>
      </c>
      <c r="I68" s="795">
        <f t="shared" si="11"/>
        <v>0</v>
      </c>
      <c r="J68" s="795">
        <f t="shared" si="12"/>
        <v>0</v>
      </c>
      <c r="K68" s="108">
        <f t="shared" si="6"/>
        <v>2018</v>
      </c>
      <c r="L68" s="92" t="str">
        <f t="shared" si="7"/>
        <v/>
      </c>
      <c r="M68" s="79"/>
      <c r="N68" s="80"/>
      <c r="O68" s="79"/>
      <c r="P68" s="82"/>
      <c r="Q68" s="79"/>
      <c r="R68" s="79"/>
    </row>
    <row r="69" spans="1:18" ht="12.75" customHeight="1">
      <c r="A69" s="90" t="str">
        <f>IF(B69&lt;&gt;"",MAX(A$28:A68)+1,IF(ISNA(HLOOKUP(DATE(YEAR($C$21),MONTH(C69),DAY(C69)),$C$21:$N$21,1,0)),"",MAX(A$28:A68)+1))</f>
        <v/>
      </c>
      <c r="B69" s="91" t="str">
        <f>IF(C69&lt;$K$16,"",IF(ISNA(HLOOKUP(DATE(YEAR($C$20),MONTH($C69),DAY($C69)),$C$20:$N$20,1,0)),"",MAX(B$28:B68)+1))</f>
        <v/>
      </c>
      <c r="C69" s="106">
        <f t="shared" si="13"/>
        <v>43251</v>
      </c>
      <c r="D69" s="795">
        <f t="shared" si="8"/>
        <v>48367.573388375095</v>
      </c>
      <c r="E69" s="795" t="str">
        <f>IF($A69="","",IF($A69=1,D$29*$F69*($C69-$C$28)/$K$17,
(D69*ROUND(($C69-VLOOKUP($A69-1,$A$28:$C69,3,0))/30,0)/12*$F69)
))</f>
        <v/>
      </c>
      <c r="F69" s="107">
        <f t="shared" si="9"/>
        <v>0.06</v>
      </c>
      <c r="G69" s="795">
        <f t="shared" si="5"/>
        <v>0</v>
      </c>
      <c r="H69" s="795">
        <f t="shared" si="10"/>
        <v>0</v>
      </c>
      <c r="I69" s="795">
        <f t="shared" si="11"/>
        <v>0</v>
      </c>
      <c r="J69" s="795">
        <f t="shared" si="12"/>
        <v>0</v>
      </c>
      <c r="K69" s="108">
        <f t="shared" si="6"/>
        <v>2018</v>
      </c>
      <c r="L69" s="92" t="str">
        <f t="shared" si="7"/>
        <v/>
      </c>
      <c r="M69" s="79"/>
      <c r="N69" s="80"/>
      <c r="O69" s="79"/>
      <c r="P69" s="82"/>
      <c r="Q69" s="79"/>
      <c r="R69" s="79"/>
    </row>
    <row r="70" spans="1:18" ht="12.75" customHeight="1">
      <c r="A70" s="90">
        <f>IF(B70&lt;&gt;"",MAX(A$28:A69)+1,IF(ISNA(HLOOKUP(DATE(YEAR($C$21),MONTH(C70),DAY(C70)),$C$21:$N$21,1,0)),"",MAX(A$28:A69)+1))</f>
        <v>14</v>
      </c>
      <c r="B70" s="91">
        <f>IF(C70&lt;$K$16,"",IF(ISNA(HLOOKUP(DATE(YEAR($C$20),MONTH($C70),DAY($C70)),$C$20:$N$20,1,0)),"",MAX(B$28:B69)+1))</f>
        <v>2</v>
      </c>
      <c r="C70" s="106">
        <f t="shared" si="13"/>
        <v>43281</v>
      </c>
      <c r="D70" s="795">
        <f t="shared" si="8"/>
        <v>48367.573388375095</v>
      </c>
      <c r="E70" s="795">
        <f>IF($A70="","",IF($A70=1,D$29*$F70*($C70-$C$28)/$K$17,
(D70*ROUND(($C70-VLOOKUP($A70-1,$A$28:$C70,3,0))/30,0)/12*$F70)
))</f>
        <v>725.51360082562633</v>
      </c>
      <c r="F70" s="107">
        <f t="shared" si="9"/>
        <v>0.06</v>
      </c>
      <c r="G70" s="795">
        <f t="shared" si="5"/>
        <v>438.91301079928235</v>
      </c>
      <c r="H70" s="795">
        <f t="shared" si="10"/>
        <v>717.64705882352939</v>
      </c>
      <c r="I70" s="795">
        <f t="shared" si="11"/>
        <v>438.91301079928235</v>
      </c>
      <c r="J70" s="795">
        <f t="shared" si="12"/>
        <v>1164.4266116249087</v>
      </c>
      <c r="K70" s="108">
        <f t="shared" si="6"/>
        <v>2018</v>
      </c>
      <c r="L70" s="92" t="str">
        <f t="shared" si="7"/>
        <v/>
      </c>
      <c r="M70" s="79"/>
      <c r="N70" s="80"/>
      <c r="O70" s="79"/>
      <c r="P70" s="82"/>
      <c r="Q70" s="79"/>
      <c r="R70" s="79"/>
    </row>
    <row r="71" spans="1:18" ht="12.75" customHeight="1">
      <c r="A71" s="90" t="str">
        <f>IF(B71&lt;&gt;"",MAX(A$28:A70)+1,IF(ISNA(HLOOKUP(DATE(YEAR($C$21),MONTH(C71),DAY(C71)),$C$21:$N$21,1,0)),"",MAX(A$28:A70)+1))</f>
        <v/>
      </c>
      <c r="B71" s="91" t="str">
        <f>IF(C71&lt;$K$16,"",IF(ISNA(HLOOKUP(DATE(YEAR($C$20),MONTH($C71),DAY($C71)),$C$20:$N$20,1,0)),"",MAX(B$28:B70)+1))</f>
        <v/>
      </c>
      <c r="C71" s="106">
        <f t="shared" si="13"/>
        <v>43312</v>
      </c>
      <c r="D71" s="795">
        <f t="shared" si="8"/>
        <v>47928.660377575812</v>
      </c>
      <c r="E71" s="795" t="str">
        <f>IF($A71="","",IF($A71=1,D$29*$F71*($C71-$C$28)/$K$17,
(D71*ROUND(($C71-VLOOKUP($A71-1,$A$28:$C71,3,0))/30,0)/12*$F71)
))</f>
        <v/>
      </c>
      <c r="F71" s="107">
        <f t="shared" si="9"/>
        <v>0.06</v>
      </c>
      <c r="G71" s="795">
        <f t="shared" si="5"/>
        <v>0</v>
      </c>
      <c r="H71" s="795">
        <f t="shared" si="10"/>
        <v>0</v>
      </c>
      <c r="I71" s="795">
        <f t="shared" si="11"/>
        <v>0</v>
      </c>
      <c r="J71" s="795">
        <f t="shared" si="12"/>
        <v>0</v>
      </c>
      <c r="K71" s="108">
        <f t="shared" si="6"/>
        <v>2018</v>
      </c>
      <c r="L71" s="92" t="str">
        <f t="shared" si="7"/>
        <v/>
      </c>
      <c r="M71" s="79"/>
      <c r="N71" s="80"/>
      <c r="O71" s="79"/>
      <c r="P71" s="82"/>
      <c r="Q71" s="79"/>
      <c r="R71" s="79"/>
    </row>
    <row r="72" spans="1:18" ht="12.75" customHeight="1">
      <c r="A72" s="90" t="str">
        <f>IF(B72&lt;&gt;"",MAX(A$28:A71)+1,IF(ISNA(HLOOKUP(DATE(YEAR($C$21),MONTH(C72),DAY(C72)),$C$21:$N$21,1,0)),"",MAX(A$28:A71)+1))</f>
        <v/>
      </c>
      <c r="B72" s="91" t="str">
        <f>IF(C72&lt;$K$16,"",IF(ISNA(HLOOKUP(DATE(YEAR($C$20),MONTH($C72),DAY($C72)),$C$20:$N$20,1,0)),"",MAX(B$28:B71)+1))</f>
        <v/>
      </c>
      <c r="C72" s="106">
        <f t="shared" si="13"/>
        <v>43343</v>
      </c>
      <c r="D72" s="795">
        <f t="shared" si="8"/>
        <v>47928.660377575812</v>
      </c>
      <c r="E72" s="795" t="str">
        <f>IF($A72="","",IF($A72=1,D$29*$F72*($C72-$C$28)/$K$17,
(D72*ROUND(($C72-VLOOKUP($A72-1,$A$28:$C72,3,0))/30,0)/12*$F72)
))</f>
        <v/>
      </c>
      <c r="F72" s="107">
        <f t="shared" si="9"/>
        <v>0.06</v>
      </c>
      <c r="G72" s="795">
        <f t="shared" si="5"/>
        <v>0</v>
      </c>
      <c r="H72" s="795">
        <f t="shared" si="10"/>
        <v>0</v>
      </c>
      <c r="I72" s="795">
        <f t="shared" si="11"/>
        <v>0</v>
      </c>
      <c r="J72" s="795">
        <f t="shared" si="12"/>
        <v>0</v>
      </c>
      <c r="K72" s="108">
        <f t="shared" si="6"/>
        <v>2018</v>
      </c>
      <c r="L72" s="92" t="str">
        <f t="shared" si="7"/>
        <v/>
      </c>
      <c r="M72" s="79"/>
      <c r="N72" s="80"/>
      <c r="O72" s="79"/>
      <c r="P72" s="82"/>
      <c r="Q72" s="79"/>
      <c r="R72" s="79"/>
    </row>
    <row r="73" spans="1:18" ht="12.75" customHeight="1">
      <c r="A73" s="90">
        <f>IF(B73&lt;&gt;"",MAX(A$28:A72)+1,IF(ISNA(HLOOKUP(DATE(YEAR($C$21),MONTH(C73),DAY(C73)),$C$21:$N$21,1,0)),"",MAX(A$28:A72)+1))</f>
        <v>15</v>
      </c>
      <c r="B73" s="91">
        <f>IF(C73&lt;$K$16,"",IF(ISNA(HLOOKUP(DATE(YEAR($C$20),MONTH($C73),DAY($C73)),$C$20:$N$20,1,0)),"",MAX(B$28:B72)+1))</f>
        <v>3</v>
      </c>
      <c r="C73" s="106">
        <f t="shared" si="13"/>
        <v>43373</v>
      </c>
      <c r="D73" s="795">
        <f t="shared" si="8"/>
        <v>47928.660377575812</v>
      </c>
      <c r="E73" s="795">
        <f>IF($A73="","",IF($A73=1,D$29*$F73*($C73-$C$28)/$K$17,
(D73*ROUND(($C73-VLOOKUP($A73-1,$A$28:$C73,3,0))/30,0)/12*$F73)
))</f>
        <v>718.9299056636371</v>
      </c>
      <c r="F73" s="107">
        <f t="shared" si="9"/>
        <v>0.06</v>
      </c>
      <c r="G73" s="795">
        <f t="shared" si="5"/>
        <v>445.49670596127157</v>
      </c>
      <c r="H73" s="795">
        <f t="shared" si="10"/>
        <v>717.64705882352939</v>
      </c>
      <c r="I73" s="795">
        <f t="shared" si="11"/>
        <v>445.49670596127157</v>
      </c>
      <c r="J73" s="795">
        <f t="shared" si="12"/>
        <v>1164.4266116249087</v>
      </c>
      <c r="K73" s="108">
        <f t="shared" si="6"/>
        <v>2018</v>
      </c>
      <c r="L73" s="92" t="str">
        <f t="shared" si="7"/>
        <v/>
      </c>
      <c r="M73" s="79"/>
      <c r="N73" s="80"/>
      <c r="O73" s="79"/>
      <c r="P73" s="82"/>
      <c r="Q73" s="79"/>
      <c r="R73" s="79"/>
    </row>
    <row r="74" spans="1:18" ht="12.75" customHeight="1">
      <c r="A74" s="90" t="str">
        <f>IF(B74&lt;&gt;"",MAX(A$28:A73)+1,IF(ISNA(HLOOKUP(DATE(YEAR($C$21),MONTH(C74),DAY(C74)),$C$21:$N$21,1,0)),"",MAX(A$28:A73)+1))</f>
        <v/>
      </c>
      <c r="B74" s="91" t="str">
        <f>IF(C74&lt;$K$16,"",IF(ISNA(HLOOKUP(DATE(YEAR($C$20),MONTH($C74),DAY($C74)),$C$20:$N$20,1,0)),"",MAX(B$28:B73)+1))</f>
        <v/>
      </c>
      <c r="C74" s="106">
        <f t="shared" si="13"/>
        <v>43404</v>
      </c>
      <c r="D74" s="795">
        <f t="shared" si="8"/>
        <v>47483.163671614544</v>
      </c>
      <c r="E74" s="795" t="str">
        <f>IF($A74="","",IF($A74=1,D$29*$F74*($C74-$C$28)/$K$17,
(D74*ROUND(($C74-VLOOKUP($A74-1,$A$28:$C74,3,0))/30,0)/12*$F74)
))</f>
        <v/>
      </c>
      <c r="F74" s="107">
        <f t="shared" si="9"/>
        <v>0.06</v>
      </c>
      <c r="G74" s="795">
        <f t="shared" si="5"/>
        <v>0</v>
      </c>
      <c r="H74" s="795">
        <f t="shared" si="10"/>
        <v>0</v>
      </c>
      <c r="I74" s="795">
        <f t="shared" si="11"/>
        <v>0</v>
      </c>
      <c r="J74" s="795">
        <f t="shared" si="12"/>
        <v>0</v>
      </c>
      <c r="K74" s="108">
        <f t="shared" si="6"/>
        <v>2018</v>
      </c>
      <c r="L74" s="92" t="str">
        <f t="shared" si="7"/>
        <v/>
      </c>
      <c r="M74" s="79"/>
      <c r="N74" s="80"/>
      <c r="O74" s="79"/>
      <c r="P74" s="82"/>
      <c r="Q74" s="79"/>
      <c r="R74" s="79"/>
    </row>
    <row r="75" spans="1:18" ht="12.75" customHeight="1">
      <c r="A75" s="90" t="str">
        <f>IF(B75&lt;&gt;"",MAX(A$28:A74)+1,IF(ISNA(HLOOKUP(DATE(YEAR($C$21),MONTH(C75),DAY(C75)),$C$21:$N$21,1,0)),"",MAX(A$28:A74)+1))</f>
        <v/>
      </c>
      <c r="B75" s="91" t="str">
        <f>IF(C75&lt;$K$16,"",IF(ISNA(HLOOKUP(DATE(YEAR($C$20),MONTH($C75),DAY($C75)),$C$20:$N$20,1,0)),"",MAX(B$28:B74)+1))</f>
        <v/>
      </c>
      <c r="C75" s="106">
        <f t="shared" si="13"/>
        <v>43434</v>
      </c>
      <c r="D75" s="795">
        <f t="shared" si="8"/>
        <v>47483.163671614544</v>
      </c>
      <c r="E75" s="795" t="str">
        <f>IF($A75="","",IF($A75=1,D$29*$F75*($C75-$C$28)/$K$17,
(D75*ROUND(($C75-VLOOKUP($A75-1,$A$28:$C75,3,0))/30,0)/12*$F75)
))</f>
        <v/>
      </c>
      <c r="F75" s="107">
        <f t="shared" si="9"/>
        <v>0.06</v>
      </c>
      <c r="G75" s="795">
        <f t="shared" si="5"/>
        <v>0</v>
      </c>
      <c r="H75" s="795">
        <f t="shared" si="10"/>
        <v>0</v>
      </c>
      <c r="I75" s="795">
        <f t="shared" si="11"/>
        <v>0</v>
      </c>
      <c r="J75" s="795">
        <f t="shared" si="12"/>
        <v>0</v>
      </c>
      <c r="K75" s="108">
        <f t="shared" si="6"/>
        <v>2018</v>
      </c>
      <c r="L75" s="92" t="str">
        <f t="shared" si="7"/>
        <v/>
      </c>
      <c r="M75" s="79"/>
      <c r="N75" s="80"/>
      <c r="O75" s="79"/>
      <c r="P75" s="82"/>
      <c r="Q75" s="79"/>
      <c r="R75" s="79"/>
    </row>
    <row r="76" spans="1:18" ht="12.75" customHeight="1">
      <c r="A76" s="90">
        <f>IF(B76&lt;&gt;"",MAX(A$28:A75)+1,IF(ISNA(HLOOKUP(DATE(YEAR($C$21),MONTH(C76),DAY(C76)),$C$21:$N$21,1,0)),"",MAX(A$28:A75)+1))</f>
        <v>16</v>
      </c>
      <c r="B76" s="91">
        <f>IF(C76&lt;$K$16,"",IF(ISNA(HLOOKUP(DATE(YEAR($C$20),MONTH($C76),DAY($C76)),$C$20:$N$20,1,0)),"",MAX(B$28:B75)+1))</f>
        <v>4</v>
      </c>
      <c r="C76" s="106">
        <f t="shared" si="13"/>
        <v>43465</v>
      </c>
      <c r="D76" s="795">
        <f t="shared" si="8"/>
        <v>47483.163671614544</v>
      </c>
      <c r="E76" s="795">
        <f>IF($A76="","",IF($A76=1,D$29*$F76*($C76-$C$28)/$K$17,
(D76*ROUND(($C76-VLOOKUP($A76-1,$A$28:$C76,3,0))/30,0)/12*$F76)
))</f>
        <v>712.24745507421812</v>
      </c>
      <c r="F76" s="107">
        <f t="shared" si="9"/>
        <v>0.06</v>
      </c>
      <c r="G76" s="795">
        <f t="shared" si="5"/>
        <v>452.17915655069055</v>
      </c>
      <c r="H76" s="795">
        <f t="shared" si="10"/>
        <v>717.64705882352939</v>
      </c>
      <c r="I76" s="795">
        <f t="shared" si="11"/>
        <v>452.17915655069055</v>
      </c>
      <c r="J76" s="795">
        <f t="shared" si="12"/>
        <v>1164.4266116249087</v>
      </c>
      <c r="K76" s="108">
        <f t="shared" si="6"/>
        <v>2018</v>
      </c>
      <c r="L76" s="92" t="str">
        <f t="shared" si="7"/>
        <v/>
      </c>
      <c r="M76" s="79"/>
      <c r="N76" s="80"/>
      <c r="O76" s="79"/>
      <c r="P76" s="82"/>
      <c r="Q76" s="79"/>
      <c r="R76" s="79"/>
    </row>
    <row r="77" spans="1:18" ht="12.75" customHeight="1">
      <c r="A77" s="90" t="str">
        <f>IF(B77&lt;&gt;"",MAX(A$28:A76)+1,IF(ISNA(HLOOKUP(DATE(YEAR($C$21),MONTH(C77),DAY(C77)),$C$21:$N$21,1,0)),"",MAX(A$28:A76)+1))</f>
        <v/>
      </c>
      <c r="B77" s="91" t="str">
        <f>IF(C77&lt;$K$16,"",IF(ISNA(HLOOKUP(DATE(YEAR($C$20),MONTH($C77),DAY($C77)),$C$20:$N$20,1,0)),"",MAX(B$28:B76)+1))</f>
        <v/>
      </c>
      <c r="C77" s="106">
        <f t="shared" si="13"/>
        <v>43496</v>
      </c>
      <c r="D77" s="795">
        <f t="shared" si="8"/>
        <v>47030.98451506385</v>
      </c>
      <c r="E77" s="795" t="str">
        <f>IF($A77="","",IF($A77=1,D$29*$F77*($C77-$C$28)/$K$17,
(D77*ROUND(($C77-VLOOKUP($A77-1,$A$28:$C77,3,0))/30,0)/12*$F77)
))</f>
        <v/>
      </c>
      <c r="F77" s="107">
        <f t="shared" si="9"/>
        <v>0.06</v>
      </c>
      <c r="G77" s="795">
        <f t="shared" si="5"/>
        <v>0</v>
      </c>
      <c r="H77" s="795">
        <f t="shared" si="10"/>
        <v>0</v>
      </c>
      <c r="I77" s="795">
        <f t="shared" si="11"/>
        <v>0</v>
      </c>
      <c r="J77" s="795">
        <f t="shared" si="12"/>
        <v>0</v>
      </c>
      <c r="K77" s="108">
        <f t="shared" si="6"/>
        <v>2019</v>
      </c>
      <c r="L77" s="92" t="str">
        <f t="shared" si="7"/>
        <v/>
      </c>
      <c r="M77" s="79"/>
      <c r="N77" s="80"/>
      <c r="O77" s="79"/>
      <c r="P77" s="82"/>
      <c r="Q77" s="79"/>
      <c r="R77" s="79"/>
    </row>
    <row r="78" spans="1:18" ht="12.75" customHeight="1">
      <c r="A78" s="90" t="str">
        <f>IF(B78&lt;&gt;"",MAX(A$28:A77)+1,IF(ISNA(HLOOKUP(DATE(YEAR($C$21),MONTH(C78),DAY(C78)),$C$21:$N$21,1,0)),"",MAX(A$28:A77)+1))</f>
        <v/>
      </c>
      <c r="B78" s="91" t="str">
        <f>IF(C78&lt;$K$16,"",IF(ISNA(HLOOKUP(DATE(YEAR($C$20),MONTH($C78),DAY($C78)),$C$20:$N$20,1,0)),"",MAX(B$28:B77)+1))</f>
        <v/>
      </c>
      <c r="C78" s="106">
        <f t="shared" si="13"/>
        <v>43524</v>
      </c>
      <c r="D78" s="795">
        <f t="shared" si="8"/>
        <v>47030.98451506385</v>
      </c>
      <c r="E78" s="795" t="str">
        <f>IF($A78="","",IF($A78=1,D$29*$F78*($C78-$C$28)/$K$17,
(D78*ROUND(($C78-VLOOKUP($A78-1,$A$28:$C78,3,0))/30,0)/12*$F78)
))</f>
        <v/>
      </c>
      <c r="F78" s="107">
        <f t="shared" si="9"/>
        <v>0.06</v>
      </c>
      <c r="G78" s="795">
        <f t="shared" si="5"/>
        <v>0</v>
      </c>
      <c r="H78" s="795">
        <f t="shared" si="10"/>
        <v>0</v>
      </c>
      <c r="I78" s="795">
        <f t="shared" si="11"/>
        <v>0</v>
      </c>
      <c r="J78" s="795">
        <f t="shared" si="12"/>
        <v>0</v>
      </c>
      <c r="K78" s="108">
        <f t="shared" si="6"/>
        <v>2019</v>
      </c>
      <c r="L78" s="92" t="str">
        <f t="shared" si="7"/>
        <v/>
      </c>
      <c r="M78" s="79"/>
      <c r="N78" s="80"/>
      <c r="O78" s="79"/>
      <c r="P78" s="82"/>
      <c r="Q78" s="79"/>
      <c r="R78" s="79"/>
    </row>
    <row r="79" spans="1:18" ht="12.75" customHeight="1">
      <c r="A79" s="90">
        <f>IF(B79&lt;&gt;"",MAX(A$28:A78)+1,IF(ISNA(HLOOKUP(DATE(YEAR($C$21),MONTH(C79),DAY(C79)),$C$21:$N$21,1,0)),"",MAX(A$28:A78)+1))</f>
        <v>17</v>
      </c>
      <c r="B79" s="91">
        <f>IF(C79&lt;$K$16,"",IF(ISNA(HLOOKUP(DATE(YEAR($C$20),MONTH($C79),DAY($C79)),$C$20:$N$20,1,0)),"",MAX(B$28:B78)+1))</f>
        <v>5</v>
      </c>
      <c r="C79" s="106">
        <f t="shared" si="13"/>
        <v>43555</v>
      </c>
      <c r="D79" s="795">
        <f t="shared" si="8"/>
        <v>47030.98451506385</v>
      </c>
      <c r="E79" s="795">
        <f>IF($A79="","",IF($A79=1,D$29*$F79*($C79-$C$28)/$K$17,
(D79*ROUND(($C79-VLOOKUP($A79-1,$A$28:$C79,3,0))/30,0)/12*$F79)
))</f>
        <v>705.4647677259577</v>
      </c>
      <c r="F79" s="107">
        <f t="shared" si="9"/>
        <v>0.06</v>
      </c>
      <c r="G79" s="795">
        <f t="shared" si="5"/>
        <v>458.96184389895097</v>
      </c>
      <c r="H79" s="795">
        <f t="shared" si="10"/>
        <v>717.64705882352939</v>
      </c>
      <c r="I79" s="795">
        <f t="shared" si="11"/>
        <v>458.96184389895097</v>
      </c>
      <c r="J79" s="795">
        <f t="shared" si="12"/>
        <v>1164.4266116249087</v>
      </c>
      <c r="K79" s="108">
        <f t="shared" si="6"/>
        <v>2019</v>
      </c>
      <c r="L79" s="92" t="str">
        <f t="shared" si="7"/>
        <v/>
      </c>
      <c r="M79" s="79"/>
      <c r="N79" s="80"/>
      <c r="O79" s="79"/>
      <c r="P79" s="82"/>
      <c r="Q79" s="79"/>
      <c r="R79" s="79"/>
    </row>
    <row r="80" spans="1:18" ht="12.75" customHeight="1">
      <c r="A80" s="90" t="str">
        <f>IF(B80&lt;&gt;"",MAX(A$28:A79)+1,IF(ISNA(HLOOKUP(DATE(YEAR($C$21),MONTH(C80),DAY(C80)),$C$21:$N$21,1,0)),"",MAX(A$28:A79)+1))</f>
        <v/>
      </c>
      <c r="B80" s="91" t="str">
        <f>IF(C80&lt;$K$16,"",IF(ISNA(HLOOKUP(DATE(YEAR($C$20),MONTH($C80),DAY($C80)),$C$20:$N$20,1,0)),"",MAX(B$28:B79)+1))</f>
        <v/>
      </c>
      <c r="C80" s="106">
        <f t="shared" si="13"/>
        <v>43585</v>
      </c>
      <c r="D80" s="795">
        <f t="shared" si="8"/>
        <v>46572.022671164901</v>
      </c>
      <c r="E80" s="795" t="str">
        <f>IF($A80="","",IF($A80=1,D$29*$F80*($C80-$C$28)/$K$17,
(D80*ROUND(($C80-VLOOKUP($A80-1,$A$28:$C80,3,0))/30,0)/12*$F80)
))</f>
        <v/>
      </c>
      <c r="F80" s="107">
        <f t="shared" si="9"/>
        <v>0.06</v>
      </c>
      <c r="G80" s="795">
        <f t="shared" si="5"/>
        <v>0</v>
      </c>
      <c r="H80" s="795">
        <f t="shared" si="10"/>
        <v>0</v>
      </c>
      <c r="I80" s="795">
        <f t="shared" si="11"/>
        <v>0</v>
      </c>
      <c r="J80" s="795">
        <f t="shared" si="12"/>
        <v>0</v>
      </c>
      <c r="K80" s="108">
        <f t="shared" si="6"/>
        <v>2019</v>
      </c>
      <c r="L80" s="92" t="str">
        <f t="shared" si="7"/>
        <v/>
      </c>
      <c r="M80" s="79"/>
      <c r="N80" s="80"/>
      <c r="O80" s="79"/>
      <c r="P80" s="82"/>
      <c r="Q80" s="79"/>
      <c r="R80" s="79"/>
    </row>
    <row r="81" spans="1:18" ht="12.75" customHeight="1">
      <c r="A81" s="90" t="str">
        <f>IF(B81&lt;&gt;"",MAX(A$28:A80)+1,IF(ISNA(HLOOKUP(DATE(YEAR($C$21),MONTH(C81),DAY(C81)),$C$21:$N$21,1,0)),"",MAX(A$28:A80)+1))</f>
        <v/>
      </c>
      <c r="B81" s="91" t="str">
        <f>IF(C81&lt;$K$16,"",IF(ISNA(HLOOKUP(DATE(YEAR($C$20),MONTH($C81),DAY($C81)),$C$20:$N$20,1,0)),"",MAX(B$28:B80)+1))</f>
        <v/>
      </c>
      <c r="C81" s="106">
        <f t="shared" si="13"/>
        <v>43616</v>
      </c>
      <c r="D81" s="795">
        <f t="shared" si="8"/>
        <v>46572.022671164901</v>
      </c>
      <c r="E81" s="795" t="str">
        <f>IF($A81="","",IF($A81=1,D$29*$F81*($C81-$C$28)/$K$17,
(D81*ROUND(($C81-VLOOKUP($A81-1,$A$28:$C81,3,0))/30,0)/12*$F81)
))</f>
        <v/>
      </c>
      <c r="F81" s="107">
        <f t="shared" si="9"/>
        <v>0.06</v>
      </c>
      <c r="G81" s="795">
        <f t="shared" si="5"/>
        <v>0</v>
      </c>
      <c r="H81" s="795">
        <f t="shared" si="10"/>
        <v>0</v>
      </c>
      <c r="I81" s="795">
        <f t="shared" si="11"/>
        <v>0</v>
      </c>
      <c r="J81" s="795">
        <f t="shared" si="12"/>
        <v>0</v>
      </c>
      <c r="K81" s="108">
        <f t="shared" si="6"/>
        <v>2019</v>
      </c>
      <c r="L81" s="92" t="str">
        <f t="shared" si="7"/>
        <v/>
      </c>
      <c r="M81" s="79"/>
      <c r="N81" s="80"/>
      <c r="O81" s="79"/>
      <c r="P81" s="82"/>
      <c r="Q81" s="79"/>
      <c r="R81" s="79"/>
    </row>
    <row r="82" spans="1:18" ht="12.75" customHeight="1">
      <c r="A82" s="90">
        <f>IF(B82&lt;&gt;"",MAX(A$28:A81)+1,IF(ISNA(HLOOKUP(DATE(YEAR($C$21),MONTH(C82),DAY(C82)),$C$21:$N$21,1,0)),"",MAX(A$28:A81)+1))</f>
        <v>18</v>
      </c>
      <c r="B82" s="91">
        <f>IF(C82&lt;$K$16,"",IF(ISNA(HLOOKUP(DATE(YEAR($C$20),MONTH($C82),DAY($C82)),$C$20:$N$20,1,0)),"",MAX(B$28:B81)+1))</f>
        <v>6</v>
      </c>
      <c r="C82" s="106">
        <f t="shared" si="13"/>
        <v>43646</v>
      </c>
      <c r="D82" s="795">
        <f t="shared" si="8"/>
        <v>46572.022671164901</v>
      </c>
      <c r="E82" s="795">
        <f>IF($A82="","",IF($A82=1,D$29*$F82*($C82-$C$28)/$K$17,
(D82*ROUND(($C82-VLOOKUP($A82-1,$A$28:$C82,3,0))/30,0)/12*$F82)
))</f>
        <v>698.58034006747357</v>
      </c>
      <c r="F82" s="107">
        <f t="shared" si="9"/>
        <v>0.06</v>
      </c>
      <c r="G82" s="795">
        <f t="shared" si="5"/>
        <v>465.8462715574351</v>
      </c>
      <c r="H82" s="795">
        <f t="shared" si="10"/>
        <v>717.64705882352939</v>
      </c>
      <c r="I82" s="795">
        <f t="shared" si="11"/>
        <v>465.8462715574351</v>
      </c>
      <c r="J82" s="795">
        <f t="shared" si="12"/>
        <v>1164.4266116249087</v>
      </c>
      <c r="K82" s="108">
        <f t="shared" si="6"/>
        <v>2019</v>
      </c>
      <c r="L82" s="92" t="str">
        <f t="shared" si="7"/>
        <v/>
      </c>
      <c r="M82" s="79"/>
      <c r="N82" s="80"/>
      <c r="O82" s="79"/>
      <c r="P82" s="82"/>
      <c r="Q82" s="79"/>
      <c r="R82" s="79"/>
    </row>
    <row r="83" spans="1:18" ht="12.75" customHeight="1">
      <c r="A83" s="90" t="str">
        <f>IF(B83&lt;&gt;"",MAX(A$28:A82)+1,IF(ISNA(HLOOKUP(DATE(YEAR($C$21),MONTH(C83),DAY(C83)),$C$21:$N$21,1,0)),"",MAX(A$28:A82)+1))</f>
        <v/>
      </c>
      <c r="B83" s="91" t="str">
        <f>IF(C83&lt;$K$16,"",IF(ISNA(HLOOKUP(DATE(YEAR($C$20),MONTH($C83),DAY($C83)),$C$20:$N$20,1,0)),"",MAX(B$28:B82)+1))</f>
        <v/>
      </c>
      <c r="C83" s="106">
        <f t="shared" si="13"/>
        <v>43677</v>
      </c>
      <c r="D83" s="795">
        <f t="shared" si="8"/>
        <v>46106.176399607466</v>
      </c>
      <c r="E83" s="795" t="str">
        <f>IF($A83="","",IF($A83=1,D$29*$F83*($C83-$C$28)/$K$17,
(D83*ROUND(($C83-VLOOKUP($A83-1,$A$28:$C83,3,0))/30,0)/12*$F83)
))</f>
        <v/>
      </c>
      <c r="F83" s="107">
        <f t="shared" si="9"/>
        <v>0.06</v>
      </c>
      <c r="G83" s="795">
        <f t="shared" si="5"/>
        <v>0</v>
      </c>
      <c r="H83" s="795">
        <f t="shared" si="10"/>
        <v>0</v>
      </c>
      <c r="I83" s="795">
        <f t="shared" si="11"/>
        <v>0</v>
      </c>
      <c r="J83" s="795">
        <f t="shared" si="12"/>
        <v>0</v>
      </c>
      <c r="K83" s="108">
        <f t="shared" si="6"/>
        <v>2019</v>
      </c>
      <c r="L83" s="92" t="str">
        <f t="shared" si="7"/>
        <v/>
      </c>
      <c r="M83" s="79"/>
      <c r="N83" s="80"/>
      <c r="O83" s="79"/>
      <c r="P83" s="82"/>
      <c r="Q83" s="79"/>
      <c r="R83" s="79"/>
    </row>
    <row r="84" spans="1:18" ht="12.75" customHeight="1">
      <c r="A84" s="90" t="str">
        <f>IF(B84&lt;&gt;"",MAX(A$28:A83)+1,IF(ISNA(HLOOKUP(DATE(YEAR($C$21),MONTH(C84),DAY(C84)),$C$21:$N$21,1,0)),"",MAX(A$28:A83)+1))</f>
        <v/>
      </c>
      <c r="B84" s="91" t="str">
        <f>IF(C84&lt;$K$16,"",IF(ISNA(HLOOKUP(DATE(YEAR($C$20),MONTH($C84),DAY($C84)),$C$20:$N$20,1,0)),"",MAX(B$28:B83)+1))</f>
        <v/>
      </c>
      <c r="C84" s="106">
        <f t="shared" si="13"/>
        <v>43708</v>
      </c>
      <c r="D84" s="795">
        <f t="shared" si="8"/>
        <v>46106.176399607466</v>
      </c>
      <c r="E84" s="795" t="str">
        <f>IF($A84="","",IF($A84=1,D$29*$F84*($C84-$C$28)/$K$17,
(D84*ROUND(($C84-VLOOKUP($A84-1,$A$28:$C84,3,0))/30,0)/12*$F84)
))</f>
        <v/>
      </c>
      <c r="F84" s="107">
        <f t="shared" si="9"/>
        <v>0.06</v>
      </c>
      <c r="G84" s="795">
        <f t="shared" si="5"/>
        <v>0</v>
      </c>
      <c r="H84" s="795">
        <f t="shared" si="10"/>
        <v>0</v>
      </c>
      <c r="I84" s="795">
        <f t="shared" si="11"/>
        <v>0</v>
      </c>
      <c r="J84" s="795">
        <f t="shared" si="12"/>
        <v>0</v>
      </c>
      <c r="K84" s="108">
        <f t="shared" si="6"/>
        <v>2019</v>
      </c>
      <c r="L84" s="92" t="str">
        <f t="shared" si="7"/>
        <v/>
      </c>
      <c r="M84" s="79"/>
      <c r="N84" s="80"/>
      <c r="O84" s="79"/>
      <c r="P84" s="82"/>
      <c r="Q84" s="79"/>
      <c r="R84" s="79"/>
    </row>
    <row r="85" spans="1:18" ht="12.75" customHeight="1">
      <c r="A85" s="90">
        <f>IF(B85&lt;&gt;"",MAX(A$28:A84)+1,IF(ISNA(HLOOKUP(DATE(YEAR($C$21),MONTH(C85),DAY(C85)),$C$21:$N$21,1,0)),"",MAX(A$28:A84)+1))</f>
        <v>19</v>
      </c>
      <c r="B85" s="91">
        <f>IF(C85&lt;$K$16,"",IF(ISNA(HLOOKUP(DATE(YEAR($C$20),MONTH($C85),DAY($C85)),$C$20:$N$20,1,0)),"",MAX(B$28:B84)+1))</f>
        <v>7</v>
      </c>
      <c r="C85" s="106">
        <f t="shared" si="13"/>
        <v>43738</v>
      </c>
      <c r="D85" s="795">
        <f t="shared" si="8"/>
        <v>46106.176399607466</v>
      </c>
      <c r="E85" s="795">
        <f>IF($A85="","",IF($A85=1,D$29*$F85*($C85-$C$28)/$K$17,
(D85*ROUND(($C85-VLOOKUP($A85-1,$A$28:$C85,3,0))/30,0)/12*$F85)
))</f>
        <v>691.59264599411199</v>
      </c>
      <c r="F85" s="107">
        <f t="shared" si="9"/>
        <v>0.06</v>
      </c>
      <c r="G85" s="795">
        <f t="shared" si="5"/>
        <v>472.83396563079668</v>
      </c>
      <c r="H85" s="795">
        <f t="shared" si="10"/>
        <v>717.64705882352939</v>
      </c>
      <c r="I85" s="795">
        <f t="shared" si="11"/>
        <v>472.83396563079668</v>
      </c>
      <c r="J85" s="795">
        <f t="shared" si="12"/>
        <v>1164.4266116249087</v>
      </c>
      <c r="K85" s="108">
        <f t="shared" si="6"/>
        <v>2019</v>
      </c>
      <c r="L85" s="92" t="str">
        <f t="shared" si="7"/>
        <v/>
      </c>
      <c r="M85" s="79"/>
      <c r="N85" s="80"/>
      <c r="O85" s="79"/>
      <c r="P85" s="82"/>
      <c r="Q85" s="79"/>
      <c r="R85" s="79"/>
    </row>
    <row r="86" spans="1:18" ht="12.75" customHeight="1">
      <c r="A86" s="90" t="str">
        <f>IF(B86&lt;&gt;"",MAX(A$28:A85)+1,IF(ISNA(HLOOKUP(DATE(YEAR($C$21),MONTH(C86),DAY(C86)),$C$21:$N$21,1,0)),"",MAX(A$28:A85)+1))</f>
        <v/>
      </c>
      <c r="B86" s="91" t="str">
        <f>IF(C86&lt;$K$16,"",IF(ISNA(HLOOKUP(DATE(YEAR($C$20),MONTH($C86),DAY($C86)),$C$20:$N$20,1,0)),"",MAX(B$28:B85)+1))</f>
        <v/>
      </c>
      <c r="C86" s="106">
        <f t="shared" si="13"/>
        <v>43769</v>
      </c>
      <c r="D86" s="795">
        <f t="shared" si="8"/>
        <v>45633.342433976672</v>
      </c>
      <c r="E86" s="795" t="str">
        <f>IF($A86="","",IF($A86=1,D$29*$F86*($C86-$C$28)/$K$17,
(D86*ROUND(($C86-VLOOKUP($A86-1,$A$28:$C86,3,0))/30,0)/12*$F86)
))</f>
        <v/>
      </c>
      <c r="F86" s="107">
        <f t="shared" si="9"/>
        <v>0.06</v>
      </c>
      <c r="G86" s="795">
        <f t="shared" si="5"/>
        <v>0</v>
      </c>
      <c r="H86" s="795">
        <f t="shared" si="10"/>
        <v>0</v>
      </c>
      <c r="I86" s="795">
        <f t="shared" si="11"/>
        <v>0</v>
      </c>
      <c r="J86" s="795">
        <f t="shared" si="12"/>
        <v>0</v>
      </c>
      <c r="K86" s="108">
        <f t="shared" si="6"/>
        <v>2019</v>
      </c>
      <c r="L86" s="92" t="str">
        <f t="shared" si="7"/>
        <v/>
      </c>
      <c r="M86" s="79"/>
      <c r="N86" s="80"/>
      <c r="O86" s="79"/>
      <c r="P86" s="82"/>
      <c r="Q86" s="79"/>
      <c r="R86" s="79"/>
    </row>
    <row r="87" spans="1:18" ht="12.75" customHeight="1">
      <c r="A87" s="90" t="str">
        <f>IF(B87&lt;&gt;"",MAX(A$28:A86)+1,IF(ISNA(HLOOKUP(DATE(YEAR($C$21),MONTH(C87),DAY(C87)),$C$21:$N$21,1,0)),"",MAX(A$28:A86)+1))</f>
        <v/>
      </c>
      <c r="B87" s="91" t="str">
        <f>IF(C87&lt;$K$16,"",IF(ISNA(HLOOKUP(DATE(YEAR($C$20),MONTH($C87),DAY($C87)),$C$20:$N$20,1,0)),"",MAX(B$28:B86)+1))</f>
        <v/>
      </c>
      <c r="C87" s="106">
        <f t="shared" si="13"/>
        <v>43799</v>
      </c>
      <c r="D87" s="795">
        <f t="shared" si="8"/>
        <v>45633.342433976672</v>
      </c>
      <c r="E87" s="795" t="str">
        <f>IF($A87="","",IF($A87=1,D$29*$F87*($C87-$C$28)/$K$17,
(D87*ROUND(($C87-VLOOKUP($A87-1,$A$28:$C87,3,0))/30,0)/12*$F87)
))</f>
        <v/>
      </c>
      <c r="F87" s="107">
        <f t="shared" si="9"/>
        <v>0.06</v>
      </c>
      <c r="G87" s="795">
        <f t="shared" si="5"/>
        <v>0</v>
      </c>
      <c r="H87" s="795">
        <f t="shared" si="10"/>
        <v>0</v>
      </c>
      <c r="I87" s="795">
        <f t="shared" si="11"/>
        <v>0</v>
      </c>
      <c r="J87" s="795">
        <f t="shared" si="12"/>
        <v>0</v>
      </c>
      <c r="K87" s="108">
        <f t="shared" si="6"/>
        <v>2019</v>
      </c>
      <c r="L87" s="92" t="str">
        <f t="shared" si="7"/>
        <v/>
      </c>
      <c r="M87" s="79"/>
      <c r="N87" s="80"/>
      <c r="O87" s="79"/>
      <c r="P87" s="82"/>
      <c r="Q87" s="79"/>
      <c r="R87" s="79"/>
    </row>
    <row r="88" spans="1:18" ht="12.75" customHeight="1">
      <c r="A88" s="90">
        <f>IF(B88&lt;&gt;"",MAX(A$28:A87)+1,IF(ISNA(HLOOKUP(DATE(YEAR($C$21),MONTH(C88),DAY(C88)),$C$21:$N$21,1,0)),"",MAX(A$28:A87)+1))</f>
        <v>20</v>
      </c>
      <c r="B88" s="91">
        <f>IF(C88&lt;$K$16,"",IF(ISNA(HLOOKUP(DATE(YEAR($C$20),MONTH($C88),DAY($C88)),$C$20:$N$20,1,0)),"",MAX(B$28:B87)+1))</f>
        <v>8</v>
      </c>
      <c r="C88" s="106">
        <f t="shared" si="13"/>
        <v>43830</v>
      </c>
      <c r="D88" s="795">
        <f t="shared" si="8"/>
        <v>45633.342433976672</v>
      </c>
      <c r="E88" s="795">
        <f>IF($A88="","",IF($A88=1,D$29*$F88*($C88-$C$28)/$K$17,
(D88*ROUND(($C88-VLOOKUP($A88-1,$A$28:$C88,3,0))/30,0)/12*$F88)
))</f>
        <v>684.50013650965002</v>
      </c>
      <c r="F88" s="107">
        <f t="shared" si="9"/>
        <v>0.06</v>
      </c>
      <c r="G88" s="795">
        <f t="shared" si="5"/>
        <v>479.92647511525865</v>
      </c>
      <c r="H88" s="795">
        <f t="shared" si="10"/>
        <v>717.64705882352939</v>
      </c>
      <c r="I88" s="795">
        <f t="shared" si="11"/>
        <v>479.92647511525865</v>
      </c>
      <c r="J88" s="795">
        <f t="shared" si="12"/>
        <v>1164.4266116249087</v>
      </c>
      <c r="K88" s="108">
        <f t="shared" si="6"/>
        <v>2019</v>
      </c>
      <c r="L88" s="92" t="str">
        <f t="shared" si="7"/>
        <v/>
      </c>
      <c r="M88" s="79"/>
      <c r="N88" s="80"/>
      <c r="O88" s="79"/>
      <c r="P88" s="82"/>
      <c r="Q88" s="79"/>
      <c r="R88" s="79"/>
    </row>
    <row r="89" spans="1:18" ht="12.75" customHeight="1">
      <c r="A89" s="90" t="str">
        <f>IF(B89&lt;&gt;"",MAX(A$28:A88)+1,IF(ISNA(HLOOKUP(DATE(YEAR($C$21),MONTH(C89),DAY(C89)),$C$21:$N$21,1,0)),"",MAX(A$28:A88)+1))</f>
        <v/>
      </c>
      <c r="B89" s="91" t="str">
        <f>IF(C89&lt;$K$16,"",IF(ISNA(HLOOKUP(DATE(YEAR($C$20),MONTH($C89),DAY($C89)),$C$20:$N$20,1,0)),"",MAX(B$28:B88)+1))</f>
        <v/>
      </c>
      <c r="C89" s="106">
        <f t="shared" si="13"/>
        <v>43861</v>
      </c>
      <c r="D89" s="795">
        <f t="shared" si="8"/>
        <v>45153.415958861413</v>
      </c>
      <c r="E89" s="795" t="str">
        <f>IF($A89="","",IF($A89=1,D$29*$F89*($C89-$C$28)/$K$17,
(D89*ROUND(($C89-VLOOKUP($A89-1,$A$28:$C89,3,0))/30,0)/12*$F89)
))</f>
        <v/>
      </c>
      <c r="F89" s="107">
        <f t="shared" si="9"/>
        <v>0.06</v>
      </c>
      <c r="G89" s="795">
        <f t="shared" si="5"/>
        <v>0</v>
      </c>
      <c r="H89" s="795">
        <f t="shared" si="10"/>
        <v>0</v>
      </c>
      <c r="I89" s="795">
        <f t="shared" si="11"/>
        <v>0</v>
      </c>
      <c r="J89" s="795">
        <f t="shared" si="12"/>
        <v>0</v>
      </c>
      <c r="K89" s="108">
        <f t="shared" si="6"/>
        <v>2020</v>
      </c>
      <c r="L89" s="92" t="str">
        <f t="shared" si="7"/>
        <v/>
      </c>
      <c r="M89" s="79"/>
      <c r="N89" s="80"/>
      <c r="O89" s="79"/>
      <c r="P89" s="82"/>
      <c r="Q89" s="79"/>
      <c r="R89" s="79"/>
    </row>
    <row r="90" spans="1:18" ht="12.75" customHeight="1">
      <c r="A90" s="90" t="str">
        <f>IF(B90&lt;&gt;"",MAX(A$28:A89)+1,IF(ISNA(HLOOKUP(DATE(YEAR($C$21),MONTH(C90),DAY(C90)),$C$21:$N$21,1,0)),"",MAX(A$28:A89)+1))</f>
        <v/>
      </c>
      <c r="B90" s="91" t="str">
        <f>IF(C90&lt;$K$16,"",IF(ISNA(HLOOKUP(DATE(YEAR($C$20),MONTH($C90),DAY($C90)),$C$20:$N$20,1,0)),"",MAX(B$28:B89)+1))</f>
        <v/>
      </c>
      <c r="C90" s="106">
        <f t="shared" si="13"/>
        <v>43890</v>
      </c>
      <c r="D90" s="795">
        <f t="shared" si="8"/>
        <v>45153.415958861413</v>
      </c>
      <c r="E90" s="795" t="str">
        <f>IF($A90="","",IF($A90=1,D$29*$F90*($C90-$C$28)/$K$17,
(D90*ROUND(($C90-VLOOKUP($A90-1,$A$28:$C90,3,0))/30,0)/12*$F90)
))</f>
        <v/>
      </c>
      <c r="F90" s="107">
        <f t="shared" si="9"/>
        <v>0.06</v>
      </c>
      <c r="G90" s="795">
        <f t="shared" si="5"/>
        <v>0</v>
      </c>
      <c r="H90" s="795">
        <f t="shared" si="10"/>
        <v>0</v>
      </c>
      <c r="I90" s="795">
        <f t="shared" si="11"/>
        <v>0</v>
      </c>
      <c r="J90" s="795">
        <f t="shared" si="12"/>
        <v>0</v>
      </c>
      <c r="K90" s="108">
        <f t="shared" si="6"/>
        <v>2020</v>
      </c>
      <c r="L90" s="92" t="str">
        <f t="shared" si="7"/>
        <v/>
      </c>
      <c r="M90" s="79"/>
      <c r="N90" s="80"/>
      <c r="O90" s="79"/>
      <c r="P90" s="82"/>
      <c r="Q90" s="79"/>
      <c r="R90" s="79"/>
    </row>
    <row r="91" spans="1:18" ht="12.75" customHeight="1">
      <c r="A91" s="90">
        <f>IF(B91&lt;&gt;"",MAX(A$28:A90)+1,IF(ISNA(HLOOKUP(DATE(YEAR($C$21),MONTH(C91),DAY(C91)),$C$21:$N$21,1,0)),"",MAX(A$28:A90)+1))</f>
        <v>21</v>
      </c>
      <c r="B91" s="91">
        <f>IF(C91&lt;$K$16,"",IF(ISNA(HLOOKUP(DATE(YEAR($C$20),MONTH($C91),DAY($C91)),$C$20:$N$20,1,0)),"",MAX(B$28:B90)+1))</f>
        <v>9</v>
      </c>
      <c r="C91" s="106">
        <f t="shared" si="13"/>
        <v>43921</v>
      </c>
      <c r="D91" s="795">
        <f t="shared" si="8"/>
        <v>45153.415958861413</v>
      </c>
      <c r="E91" s="795">
        <f>IF($A91="","",IF($A91=1,D$29*$F91*($C91-$C$28)/$K$17,
(D91*ROUND(($C91-VLOOKUP($A91-1,$A$28:$C91,3,0))/30,0)/12*$F91)
))</f>
        <v>677.30123938292115</v>
      </c>
      <c r="F91" s="107">
        <f t="shared" si="9"/>
        <v>0.06</v>
      </c>
      <c r="G91" s="795">
        <f t="shared" si="5"/>
        <v>487.12537224198752</v>
      </c>
      <c r="H91" s="795">
        <f t="shared" si="10"/>
        <v>717.64705882352939</v>
      </c>
      <c r="I91" s="795">
        <f t="shared" si="11"/>
        <v>487.12537224198752</v>
      </c>
      <c r="J91" s="795">
        <f t="shared" si="12"/>
        <v>1164.4266116249087</v>
      </c>
      <c r="K91" s="108">
        <f t="shared" si="6"/>
        <v>2020</v>
      </c>
      <c r="L91" s="92" t="str">
        <f t="shared" si="7"/>
        <v/>
      </c>
      <c r="M91" s="79"/>
      <c r="N91" s="80"/>
      <c r="O91" s="79"/>
      <c r="P91" s="82"/>
      <c r="Q91" s="79"/>
      <c r="R91" s="79"/>
    </row>
    <row r="92" spans="1:18" ht="12.75" customHeight="1">
      <c r="A92" s="90" t="str">
        <f>IF(B92&lt;&gt;"",MAX(A$28:A91)+1,IF(ISNA(HLOOKUP(DATE(YEAR($C$21),MONTH(C92),DAY(C92)),$C$21:$N$21,1,0)),"",MAX(A$28:A91)+1))</f>
        <v/>
      </c>
      <c r="B92" s="91" t="str">
        <f>IF(C92&lt;$K$16,"",IF(ISNA(HLOOKUP(DATE(YEAR($C$20),MONTH($C92),DAY($C92)),$C$20:$N$20,1,0)),"",MAX(B$28:B91)+1))</f>
        <v/>
      </c>
      <c r="C92" s="106">
        <f t="shared" si="13"/>
        <v>43951</v>
      </c>
      <c r="D92" s="795">
        <f t="shared" si="8"/>
        <v>44666.290586619427</v>
      </c>
      <c r="E92" s="795" t="str">
        <f>IF($A92="","",IF($A92=1,D$29*$F92*($C92-$C$28)/$K$17,
(D92*ROUND(($C92-VLOOKUP($A92-1,$A$28:$C92,3,0))/30,0)/12*$F92)
))</f>
        <v/>
      </c>
      <c r="F92" s="107">
        <f t="shared" si="9"/>
        <v>0.06</v>
      </c>
      <c r="G92" s="795">
        <f t="shared" ref="G92:G155" si="14">IF($A$26=1,I92,H92)</f>
        <v>0</v>
      </c>
      <c r="H92" s="795">
        <f t="shared" si="10"/>
        <v>0</v>
      </c>
      <c r="I92" s="795">
        <f t="shared" si="11"/>
        <v>0</v>
      </c>
      <c r="J92" s="795">
        <f t="shared" si="12"/>
        <v>0</v>
      </c>
      <c r="K92" s="108">
        <f t="shared" ref="K92:K155" si="15">YEAR(C92)</f>
        <v>2020</v>
      </c>
      <c r="L92" s="92" t="str">
        <f t="shared" ref="L92:L155" si="16">IF(AND(D92&gt;1,D93&lt;1),C92,"")</f>
        <v/>
      </c>
      <c r="M92" s="79"/>
      <c r="N92" s="80"/>
      <c r="O92" s="79"/>
      <c r="P92" s="82"/>
      <c r="Q92" s="79"/>
      <c r="R92" s="79"/>
    </row>
    <row r="93" spans="1:18" ht="12.75" customHeight="1">
      <c r="A93" s="90" t="str">
        <f>IF(B93&lt;&gt;"",MAX(A$28:A92)+1,IF(ISNA(HLOOKUP(DATE(YEAR($C$21),MONTH(C93),DAY(C93)),$C$21:$N$21,1,0)),"",MAX(A$28:A92)+1))</f>
        <v/>
      </c>
      <c r="B93" s="91" t="str">
        <f>IF(C93&lt;$K$16,"",IF(ISNA(HLOOKUP(DATE(YEAR($C$20),MONTH($C93),DAY($C93)),$C$20:$N$20,1,0)),"",MAX(B$28:B92)+1))</f>
        <v/>
      </c>
      <c r="C93" s="106">
        <f t="shared" si="13"/>
        <v>43982</v>
      </c>
      <c r="D93" s="795">
        <f t="shared" ref="D93:D156" si="17">D92-G92</f>
        <v>44666.290586619427</v>
      </c>
      <c r="E93" s="795" t="str">
        <f>IF($A93="","",IF($A93=1,D$29*$F93*($C93-$C$28)/$K$17,
(D93*ROUND(($C93-VLOOKUP($A93-1,$A$28:$C93,3,0))/30,0)/12*$F93)
))</f>
        <v/>
      </c>
      <c r="F93" s="107">
        <f t="shared" ref="F93:F156" si="18">IF(C93&gt;=$E$16,$E$15,$C$15)</f>
        <v>0.06</v>
      </c>
      <c r="G93" s="795">
        <f t="shared" si="14"/>
        <v>0</v>
      </c>
      <c r="H93" s="795">
        <f t="shared" ref="H93:H156" si="19">IF(B93="",0,MIN(D93,$E$14*$K$15/$H$16))</f>
        <v>0</v>
      </c>
      <c r="I93" s="795">
        <f t="shared" ref="I93:I156" si="20">IF(B93="",0,MIN(D92,IF(C93&gt;$E$16,$H$18,$H$15)/$H$16-E93))</f>
        <v>0</v>
      </c>
      <c r="J93" s="795">
        <f t="shared" ref="J93:J156" si="21">SUM(E93,G93)</f>
        <v>0</v>
      </c>
      <c r="K93" s="108">
        <f t="shared" si="15"/>
        <v>2020</v>
      </c>
      <c r="L93" s="92" t="str">
        <f t="shared" si="16"/>
        <v/>
      </c>
      <c r="M93" s="79"/>
      <c r="N93" s="80"/>
      <c r="O93" s="79"/>
      <c r="P93" s="82"/>
      <c r="Q93" s="79"/>
      <c r="R93" s="79"/>
    </row>
    <row r="94" spans="1:18" ht="12.75" customHeight="1">
      <c r="A94" s="90">
        <f>IF(B94&lt;&gt;"",MAX(A$28:A93)+1,IF(ISNA(HLOOKUP(DATE(YEAR($C$21),MONTH(C94),DAY(C94)),$C$21:$N$21,1,0)),"",MAX(A$28:A93)+1))</f>
        <v>22</v>
      </c>
      <c r="B94" s="91">
        <f>IF(C94&lt;$K$16,"",IF(ISNA(HLOOKUP(DATE(YEAR($C$20),MONTH($C94),DAY($C94)),$C$20:$N$20,1,0)),"",MAX(B$28:B93)+1))</f>
        <v>10</v>
      </c>
      <c r="C94" s="106">
        <f t="shared" ref="C94:C157" si="22">DATE(YEAR(C93),MONTH(C93)+2,1)-1</f>
        <v>44012</v>
      </c>
      <c r="D94" s="795">
        <f t="shared" si="17"/>
        <v>44666.290586619427</v>
      </c>
      <c r="E94" s="795">
        <f>IF($A94="","",IF($A94=1,D$29*$F94*($C94-$C$28)/$K$17,
(D94*ROUND(($C94-VLOOKUP($A94-1,$A$28:$C94,3,0))/30,0)/12*$F94)
))</f>
        <v>669.99435879929138</v>
      </c>
      <c r="F94" s="107">
        <f t="shared" si="18"/>
        <v>0.06</v>
      </c>
      <c r="G94" s="795">
        <f t="shared" si="14"/>
        <v>494.4322528256173</v>
      </c>
      <c r="H94" s="795">
        <f t="shared" si="19"/>
        <v>717.64705882352939</v>
      </c>
      <c r="I94" s="795">
        <f t="shared" si="20"/>
        <v>494.4322528256173</v>
      </c>
      <c r="J94" s="795">
        <f t="shared" si="21"/>
        <v>1164.4266116249087</v>
      </c>
      <c r="K94" s="108">
        <f t="shared" si="15"/>
        <v>2020</v>
      </c>
      <c r="L94" s="92" t="str">
        <f t="shared" si="16"/>
        <v/>
      </c>
      <c r="M94" s="79"/>
      <c r="N94" s="80"/>
      <c r="O94" s="79"/>
      <c r="P94" s="82"/>
      <c r="Q94" s="79"/>
      <c r="R94" s="79"/>
    </row>
    <row r="95" spans="1:18" ht="12.75" customHeight="1">
      <c r="A95" s="90" t="str">
        <f>IF(B95&lt;&gt;"",MAX(A$28:A94)+1,IF(ISNA(HLOOKUP(DATE(YEAR($C$21),MONTH(C95),DAY(C95)),$C$21:$N$21,1,0)),"",MAX(A$28:A94)+1))</f>
        <v/>
      </c>
      <c r="B95" s="91" t="str">
        <f>IF(C95&lt;$K$16,"",IF(ISNA(HLOOKUP(DATE(YEAR($C$20),MONTH($C95),DAY($C95)),$C$20:$N$20,1,0)),"",MAX(B$28:B94)+1))</f>
        <v/>
      </c>
      <c r="C95" s="106">
        <f t="shared" si="22"/>
        <v>44043</v>
      </c>
      <c r="D95" s="795">
        <f t="shared" si="17"/>
        <v>44171.858333793811</v>
      </c>
      <c r="E95" s="795" t="str">
        <f>IF($A95="","",IF($A95=1,D$29*$F95*($C95-$C$28)/$K$17,
(D95*ROUND(($C95-VLOOKUP($A95-1,$A$28:$C95,3,0))/30,0)/12*$F95)
))</f>
        <v/>
      </c>
      <c r="F95" s="107">
        <f t="shared" si="18"/>
        <v>0.06</v>
      </c>
      <c r="G95" s="795">
        <f t="shared" si="14"/>
        <v>0</v>
      </c>
      <c r="H95" s="795">
        <f t="shared" si="19"/>
        <v>0</v>
      </c>
      <c r="I95" s="795">
        <f t="shared" si="20"/>
        <v>0</v>
      </c>
      <c r="J95" s="795">
        <f t="shared" si="21"/>
        <v>0</v>
      </c>
      <c r="K95" s="108">
        <f t="shared" si="15"/>
        <v>2020</v>
      </c>
      <c r="L95" s="92" t="str">
        <f t="shared" si="16"/>
        <v/>
      </c>
      <c r="M95" s="79"/>
      <c r="N95" s="80"/>
      <c r="O95" s="79"/>
      <c r="P95" s="82"/>
      <c r="Q95" s="79"/>
      <c r="R95" s="79"/>
    </row>
    <row r="96" spans="1:18" ht="12.75" customHeight="1">
      <c r="A96" s="90" t="str">
        <f>IF(B96&lt;&gt;"",MAX(A$28:A95)+1,IF(ISNA(HLOOKUP(DATE(YEAR($C$21),MONTH(C96),DAY(C96)),$C$21:$N$21,1,0)),"",MAX(A$28:A95)+1))</f>
        <v/>
      </c>
      <c r="B96" s="91" t="str">
        <f>IF(C96&lt;$K$16,"",IF(ISNA(HLOOKUP(DATE(YEAR($C$20),MONTH($C96),DAY($C96)),$C$20:$N$20,1,0)),"",MAX(B$28:B95)+1))</f>
        <v/>
      </c>
      <c r="C96" s="106">
        <f t="shared" si="22"/>
        <v>44074</v>
      </c>
      <c r="D96" s="795">
        <f t="shared" si="17"/>
        <v>44171.858333793811</v>
      </c>
      <c r="E96" s="795" t="str">
        <f>IF($A96="","",IF($A96=1,D$29*$F96*($C96-$C$28)/$K$17,
(D96*ROUND(($C96-VLOOKUP($A96-1,$A$28:$C96,3,0))/30,0)/12*$F96)
))</f>
        <v/>
      </c>
      <c r="F96" s="107">
        <f t="shared" si="18"/>
        <v>0.06</v>
      </c>
      <c r="G96" s="795">
        <f t="shared" si="14"/>
        <v>0</v>
      </c>
      <c r="H96" s="795">
        <f t="shared" si="19"/>
        <v>0</v>
      </c>
      <c r="I96" s="795">
        <f t="shared" si="20"/>
        <v>0</v>
      </c>
      <c r="J96" s="795">
        <f t="shared" si="21"/>
        <v>0</v>
      </c>
      <c r="K96" s="108">
        <f t="shared" si="15"/>
        <v>2020</v>
      </c>
      <c r="L96" s="92" t="str">
        <f t="shared" si="16"/>
        <v/>
      </c>
      <c r="M96" s="79"/>
      <c r="N96" s="80"/>
      <c r="O96" s="79"/>
      <c r="P96" s="82"/>
      <c r="Q96" s="79"/>
      <c r="R96" s="79"/>
    </row>
    <row r="97" spans="1:18" ht="12.75" customHeight="1">
      <c r="A97" s="90">
        <f>IF(B97&lt;&gt;"",MAX(A$28:A96)+1,IF(ISNA(HLOOKUP(DATE(YEAR($C$21),MONTH(C97),DAY(C97)),$C$21:$N$21,1,0)),"",MAX(A$28:A96)+1))</f>
        <v>23</v>
      </c>
      <c r="B97" s="91">
        <f>IF(C97&lt;$K$16,"",IF(ISNA(HLOOKUP(DATE(YEAR($C$20),MONTH($C97),DAY($C97)),$C$20:$N$20,1,0)),"",MAX(B$28:B96)+1))</f>
        <v>11</v>
      </c>
      <c r="C97" s="106">
        <f t="shared" si="22"/>
        <v>44104</v>
      </c>
      <c r="D97" s="795">
        <f t="shared" si="17"/>
        <v>44171.858333793811</v>
      </c>
      <c r="E97" s="795">
        <f>IF($A97="","",IF($A97=1,D$29*$F97*($C97-$C$28)/$K$17,
(D97*ROUND(($C97-VLOOKUP($A97-1,$A$28:$C97,3,0))/30,0)/12*$F97)
))</f>
        <v>662.57787500690711</v>
      </c>
      <c r="F97" s="107">
        <f t="shared" si="18"/>
        <v>0.06</v>
      </c>
      <c r="G97" s="795">
        <f t="shared" si="14"/>
        <v>501.84873661800157</v>
      </c>
      <c r="H97" s="795">
        <f t="shared" si="19"/>
        <v>717.64705882352939</v>
      </c>
      <c r="I97" s="795">
        <f t="shared" si="20"/>
        <v>501.84873661800157</v>
      </c>
      <c r="J97" s="795">
        <f t="shared" si="21"/>
        <v>1164.4266116249087</v>
      </c>
      <c r="K97" s="108">
        <f t="shared" si="15"/>
        <v>2020</v>
      </c>
      <c r="L97" s="92" t="str">
        <f t="shared" si="16"/>
        <v/>
      </c>
      <c r="M97" s="79"/>
      <c r="N97" s="80"/>
      <c r="O97" s="79"/>
      <c r="P97" s="82"/>
      <c r="Q97" s="79"/>
      <c r="R97" s="79"/>
    </row>
    <row r="98" spans="1:18" ht="12.75" customHeight="1">
      <c r="A98" s="90" t="str">
        <f>IF(B98&lt;&gt;"",MAX(A$28:A97)+1,IF(ISNA(HLOOKUP(DATE(YEAR($C$21),MONTH(C98),DAY(C98)),$C$21:$N$21,1,0)),"",MAX(A$28:A97)+1))</f>
        <v/>
      </c>
      <c r="B98" s="91" t="str">
        <f>IF(C98&lt;$K$16,"",IF(ISNA(HLOOKUP(DATE(YEAR($C$20),MONTH($C98),DAY($C98)),$C$20:$N$20,1,0)),"",MAX(B$28:B97)+1))</f>
        <v/>
      </c>
      <c r="C98" s="106">
        <f t="shared" si="22"/>
        <v>44135</v>
      </c>
      <c r="D98" s="795">
        <f t="shared" si="17"/>
        <v>43670.009597175813</v>
      </c>
      <c r="E98" s="795" t="str">
        <f>IF($A98="","",IF($A98=1,D$29*$F98*($C98-$C$28)/$K$17,
(D98*ROUND(($C98-VLOOKUP($A98-1,$A$28:$C98,3,0))/30,0)/12*$F98)
))</f>
        <v/>
      </c>
      <c r="F98" s="107">
        <f t="shared" si="18"/>
        <v>0.06</v>
      </c>
      <c r="G98" s="795">
        <f t="shared" si="14"/>
        <v>0</v>
      </c>
      <c r="H98" s="795">
        <f t="shared" si="19"/>
        <v>0</v>
      </c>
      <c r="I98" s="795">
        <f t="shared" si="20"/>
        <v>0</v>
      </c>
      <c r="J98" s="795">
        <f t="shared" si="21"/>
        <v>0</v>
      </c>
      <c r="K98" s="108">
        <f t="shared" si="15"/>
        <v>2020</v>
      </c>
      <c r="L98" s="92" t="str">
        <f t="shared" si="16"/>
        <v/>
      </c>
      <c r="M98" s="79"/>
      <c r="N98" s="80"/>
      <c r="O98" s="79"/>
      <c r="P98" s="82"/>
      <c r="Q98" s="79"/>
      <c r="R98" s="79"/>
    </row>
    <row r="99" spans="1:18" ht="12.75" customHeight="1">
      <c r="A99" s="90" t="str">
        <f>IF(B99&lt;&gt;"",MAX(A$28:A98)+1,IF(ISNA(HLOOKUP(DATE(YEAR($C$21),MONTH(C99),DAY(C99)),$C$21:$N$21,1,0)),"",MAX(A$28:A98)+1))</f>
        <v/>
      </c>
      <c r="B99" s="91" t="str">
        <f>IF(C99&lt;$K$16,"",IF(ISNA(HLOOKUP(DATE(YEAR($C$20),MONTH($C99),DAY($C99)),$C$20:$N$20,1,0)),"",MAX(B$28:B98)+1))</f>
        <v/>
      </c>
      <c r="C99" s="106">
        <f t="shared" si="22"/>
        <v>44165</v>
      </c>
      <c r="D99" s="795">
        <f t="shared" si="17"/>
        <v>43670.009597175813</v>
      </c>
      <c r="E99" s="795" t="str">
        <f>IF($A99="","",IF($A99=1,D$29*$F99*($C99-$C$28)/$K$17,
(D99*ROUND(($C99-VLOOKUP($A99-1,$A$28:$C99,3,0))/30,0)/12*$F99)
))</f>
        <v/>
      </c>
      <c r="F99" s="107">
        <f t="shared" si="18"/>
        <v>0.06</v>
      </c>
      <c r="G99" s="795">
        <f t="shared" si="14"/>
        <v>0</v>
      </c>
      <c r="H99" s="795">
        <f t="shared" si="19"/>
        <v>0</v>
      </c>
      <c r="I99" s="795">
        <f t="shared" si="20"/>
        <v>0</v>
      </c>
      <c r="J99" s="795">
        <f t="shared" si="21"/>
        <v>0</v>
      </c>
      <c r="K99" s="108">
        <f t="shared" si="15"/>
        <v>2020</v>
      </c>
      <c r="L99" s="92" t="str">
        <f t="shared" si="16"/>
        <v/>
      </c>
      <c r="M99" s="79"/>
      <c r="N99" s="80"/>
      <c r="O99" s="79"/>
      <c r="P99" s="82"/>
      <c r="Q99" s="79"/>
      <c r="R99" s="79"/>
    </row>
    <row r="100" spans="1:18" ht="12.75" customHeight="1">
      <c r="A100" s="90">
        <f>IF(B100&lt;&gt;"",MAX(A$28:A99)+1,IF(ISNA(HLOOKUP(DATE(YEAR($C$21),MONTH(C100),DAY(C100)),$C$21:$N$21,1,0)),"",MAX(A$28:A99)+1))</f>
        <v>24</v>
      </c>
      <c r="B100" s="91">
        <f>IF(C100&lt;$K$16,"",IF(ISNA(HLOOKUP(DATE(YEAR($C$20),MONTH($C100),DAY($C100)),$C$20:$N$20,1,0)),"",MAX(B$28:B99)+1))</f>
        <v>12</v>
      </c>
      <c r="C100" s="106">
        <f t="shared" si="22"/>
        <v>44196</v>
      </c>
      <c r="D100" s="795">
        <f t="shared" si="17"/>
        <v>43670.009597175813</v>
      </c>
      <c r="E100" s="795">
        <f>IF($A100="","",IF($A100=1,D$29*$F100*($C100-$C$28)/$K$17,
(D100*ROUND(($C100-VLOOKUP($A100-1,$A$28:$C100,3,0))/30,0)/12*$F100)
))</f>
        <v>655.05014395763715</v>
      </c>
      <c r="F100" s="107">
        <f t="shared" si="18"/>
        <v>0.06</v>
      </c>
      <c r="G100" s="795">
        <f t="shared" si="14"/>
        <v>509.37646766727153</v>
      </c>
      <c r="H100" s="795">
        <f t="shared" si="19"/>
        <v>717.64705882352939</v>
      </c>
      <c r="I100" s="795">
        <f t="shared" si="20"/>
        <v>509.37646766727153</v>
      </c>
      <c r="J100" s="795">
        <f t="shared" si="21"/>
        <v>1164.4266116249087</v>
      </c>
      <c r="K100" s="108">
        <f t="shared" si="15"/>
        <v>2020</v>
      </c>
      <c r="L100" s="92" t="str">
        <f t="shared" si="16"/>
        <v/>
      </c>
      <c r="M100" s="79"/>
      <c r="N100" s="80"/>
      <c r="O100" s="79"/>
      <c r="P100" s="82"/>
      <c r="Q100" s="79"/>
      <c r="R100" s="79"/>
    </row>
    <row r="101" spans="1:18" ht="12.75" customHeight="1">
      <c r="A101" s="90" t="str">
        <f>IF(B101&lt;&gt;"",MAX(A$28:A100)+1,IF(ISNA(HLOOKUP(DATE(YEAR($C$21),MONTH(C101),DAY(C101)),$C$21:$N$21,1,0)),"",MAX(A$28:A100)+1))</f>
        <v/>
      </c>
      <c r="B101" s="91" t="str">
        <f>IF(C101&lt;$K$16,"",IF(ISNA(HLOOKUP(DATE(YEAR($C$20),MONTH($C101),DAY($C101)),$C$20:$N$20,1,0)),"",MAX(B$28:B100)+1))</f>
        <v/>
      </c>
      <c r="C101" s="106">
        <f t="shared" si="22"/>
        <v>44227</v>
      </c>
      <c r="D101" s="795">
        <f t="shared" si="17"/>
        <v>43160.63312950854</v>
      </c>
      <c r="E101" s="795" t="str">
        <f>IF($A101="","",IF($A101=1,D$29*$F101*($C101-$C$28)/$K$17,
(D101*ROUND(($C101-VLOOKUP($A101-1,$A$28:$C101,3,0))/30,0)/12*$F101)
))</f>
        <v/>
      </c>
      <c r="F101" s="107">
        <f t="shared" si="18"/>
        <v>0.06</v>
      </c>
      <c r="G101" s="795">
        <f t="shared" si="14"/>
        <v>0</v>
      </c>
      <c r="H101" s="795">
        <f t="shared" si="19"/>
        <v>0</v>
      </c>
      <c r="I101" s="795">
        <f t="shared" si="20"/>
        <v>0</v>
      </c>
      <c r="J101" s="795">
        <f t="shared" si="21"/>
        <v>0</v>
      </c>
      <c r="K101" s="108">
        <f t="shared" si="15"/>
        <v>2021</v>
      </c>
      <c r="L101" s="92" t="str">
        <f t="shared" si="16"/>
        <v/>
      </c>
      <c r="M101" s="79"/>
      <c r="N101" s="80"/>
      <c r="O101" s="79"/>
      <c r="P101" s="82"/>
      <c r="Q101" s="79"/>
      <c r="R101" s="79"/>
    </row>
    <row r="102" spans="1:18" ht="12.75" customHeight="1">
      <c r="A102" s="90" t="str">
        <f>IF(B102&lt;&gt;"",MAX(A$28:A101)+1,IF(ISNA(HLOOKUP(DATE(YEAR($C$21),MONTH(C102),DAY(C102)),$C$21:$N$21,1,0)),"",MAX(A$28:A101)+1))</f>
        <v/>
      </c>
      <c r="B102" s="91" t="str">
        <f>IF(C102&lt;$K$16,"",IF(ISNA(HLOOKUP(DATE(YEAR($C$20),MONTH($C102),DAY($C102)),$C$20:$N$20,1,0)),"",MAX(B$28:B101)+1))</f>
        <v/>
      </c>
      <c r="C102" s="106">
        <f t="shared" si="22"/>
        <v>44255</v>
      </c>
      <c r="D102" s="795">
        <f t="shared" si="17"/>
        <v>43160.63312950854</v>
      </c>
      <c r="E102" s="795" t="str">
        <f>IF($A102="","",IF($A102=1,D$29*$F102*($C102-$C$28)/$K$17,
(D102*ROUND(($C102-VLOOKUP($A102-1,$A$28:$C102,3,0))/30,0)/12*$F102)
))</f>
        <v/>
      </c>
      <c r="F102" s="107">
        <f t="shared" si="18"/>
        <v>0.06</v>
      </c>
      <c r="G102" s="795">
        <f t="shared" si="14"/>
        <v>0</v>
      </c>
      <c r="H102" s="795">
        <f t="shared" si="19"/>
        <v>0</v>
      </c>
      <c r="I102" s="795">
        <f t="shared" si="20"/>
        <v>0</v>
      </c>
      <c r="J102" s="795">
        <f t="shared" si="21"/>
        <v>0</v>
      </c>
      <c r="K102" s="108">
        <f t="shared" si="15"/>
        <v>2021</v>
      </c>
      <c r="L102" s="92" t="str">
        <f t="shared" si="16"/>
        <v/>
      </c>
      <c r="M102" s="79"/>
      <c r="N102" s="80"/>
      <c r="O102" s="79"/>
      <c r="P102" s="82"/>
      <c r="Q102" s="79"/>
      <c r="R102" s="79"/>
    </row>
    <row r="103" spans="1:18" ht="12.75" customHeight="1">
      <c r="A103" s="90">
        <f>IF(B103&lt;&gt;"",MAX(A$28:A102)+1,IF(ISNA(HLOOKUP(DATE(YEAR($C$21),MONTH(C103),DAY(C103)),$C$21:$N$21,1,0)),"",MAX(A$28:A102)+1))</f>
        <v>25</v>
      </c>
      <c r="B103" s="91">
        <f>IF(C103&lt;$K$16,"",IF(ISNA(HLOOKUP(DATE(YEAR($C$20),MONTH($C103),DAY($C103)),$C$20:$N$20,1,0)),"",MAX(B$28:B102)+1))</f>
        <v>13</v>
      </c>
      <c r="C103" s="106">
        <f t="shared" si="22"/>
        <v>44286</v>
      </c>
      <c r="D103" s="795">
        <f t="shared" si="17"/>
        <v>43160.63312950854</v>
      </c>
      <c r="E103" s="795">
        <f>IF($A103="","",IF($A103=1,D$29*$F103*($C103-$C$28)/$K$17,
(D103*ROUND(($C103-VLOOKUP($A103-1,$A$28:$C103,3,0))/30,0)/12*$F103)
))</f>
        <v>647.40949694262804</v>
      </c>
      <c r="F103" s="107">
        <f t="shared" si="18"/>
        <v>0.06</v>
      </c>
      <c r="G103" s="795">
        <f t="shared" si="14"/>
        <v>517.01711468228063</v>
      </c>
      <c r="H103" s="795">
        <f t="shared" si="19"/>
        <v>717.64705882352939</v>
      </c>
      <c r="I103" s="795">
        <f t="shared" si="20"/>
        <v>517.01711468228063</v>
      </c>
      <c r="J103" s="795">
        <f t="shared" si="21"/>
        <v>1164.4266116249087</v>
      </c>
      <c r="K103" s="108">
        <f t="shared" si="15"/>
        <v>2021</v>
      </c>
      <c r="L103" s="92" t="str">
        <f t="shared" si="16"/>
        <v/>
      </c>
      <c r="M103" s="79"/>
      <c r="N103" s="80"/>
      <c r="O103" s="79"/>
      <c r="P103" s="82"/>
      <c r="Q103" s="79"/>
      <c r="R103" s="79"/>
    </row>
    <row r="104" spans="1:18" ht="12.75" customHeight="1">
      <c r="A104" s="90" t="str">
        <f>IF(B104&lt;&gt;"",MAX(A$28:A103)+1,IF(ISNA(HLOOKUP(DATE(YEAR($C$21),MONTH(C104),DAY(C104)),$C$21:$N$21,1,0)),"",MAX(A$28:A103)+1))</f>
        <v/>
      </c>
      <c r="B104" s="91" t="str">
        <f>IF(C104&lt;$K$16,"",IF(ISNA(HLOOKUP(DATE(YEAR($C$20),MONTH($C104),DAY($C104)),$C$20:$N$20,1,0)),"",MAX(B$28:B103)+1))</f>
        <v/>
      </c>
      <c r="C104" s="106">
        <f t="shared" si="22"/>
        <v>44316</v>
      </c>
      <c r="D104" s="795">
        <f t="shared" si="17"/>
        <v>42643.616014826257</v>
      </c>
      <c r="E104" s="795" t="str">
        <f>IF($A104="","",IF($A104=1,D$29*$F104*($C104-$C$28)/$K$17,
(D104*ROUND(($C104-VLOOKUP($A104-1,$A$28:$C104,3,0))/30,0)/12*$F104)
))</f>
        <v/>
      </c>
      <c r="F104" s="107">
        <f t="shared" si="18"/>
        <v>0.06</v>
      </c>
      <c r="G104" s="795">
        <f t="shared" si="14"/>
        <v>0</v>
      </c>
      <c r="H104" s="795">
        <f t="shared" si="19"/>
        <v>0</v>
      </c>
      <c r="I104" s="795">
        <f t="shared" si="20"/>
        <v>0</v>
      </c>
      <c r="J104" s="795">
        <f t="shared" si="21"/>
        <v>0</v>
      </c>
      <c r="K104" s="108">
        <f t="shared" si="15"/>
        <v>2021</v>
      </c>
      <c r="L104" s="92" t="str">
        <f t="shared" si="16"/>
        <v/>
      </c>
      <c r="M104" s="79"/>
      <c r="N104" s="80"/>
      <c r="O104" s="79"/>
      <c r="P104" s="82"/>
      <c r="Q104" s="79"/>
      <c r="R104" s="79"/>
    </row>
    <row r="105" spans="1:18" ht="12.75" customHeight="1">
      <c r="A105" s="90" t="str">
        <f>IF(B105&lt;&gt;"",MAX(A$28:A104)+1,IF(ISNA(HLOOKUP(DATE(YEAR($C$21),MONTH(C105),DAY(C105)),$C$21:$N$21,1,0)),"",MAX(A$28:A104)+1))</f>
        <v/>
      </c>
      <c r="B105" s="91" t="str">
        <f>IF(C105&lt;$K$16,"",IF(ISNA(HLOOKUP(DATE(YEAR($C$20),MONTH($C105),DAY($C105)),$C$20:$N$20,1,0)),"",MAX(B$28:B104)+1))</f>
        <v/>
      </c>
      <c r="C105" s="106">
        <f t="shared" si="22"/>
        <v>44347</v>
      </c>
      <c r="D105" s="795">
        <f t="shared" si="17"/>
        <v>42643.616014826257</v>
      </c>
      <c r="E105" s="795" t="str">
        <f>IF($A105="","",IF($A105=1,D$29*$F105*($C105-$C$28)/$K$17,
(D105*ROUND(($C105-VLOOKUP($A105-1,$A$28:$C105,3,0))/30,0)/12*$F105)
))</f>
        <v/>
      </c>
      <c r="F105" s="107">
        <f t="shared" si="18"/>
        <v>0.06</v>
      </c>
      <c r="G105" s="795">
        <f t="shared" si="14"/>
        <v>0</v>
      </c>
      <c r="H105" s="795">
        <f t="shared" si="19"/>
        <v>0</v>
      </c>
      <c r="I105" s="795">
        <f t="shared" si="20"/>
        <v>0</v>
      </c>
      <c r="J105" s="795">
        <f t="shared" si="21"/>
        <v>0</v>
      </c>
      <c r="K105" s="108">
        <f t="shared" si="15"/>
        <v>2021</v>
      </c>
      <c r="L105" s="92" t="str">
        <f t="shared" si="16"/>
        <v/>
      </c>
      <c r="M105" s="79"/>
      <c r="N105" s="80"/>
      <c r="O105" s="79"/>
      <c r="P105" s="82"/>
      <c r="Q105" s="79"/>
      <c r="R105" s="79"/>
    </row>
    <row r="106" spans="1:18" ht="12.75" customHeight="1">
      <c r="A106" s="90">
        <f>IF(B106&lt;&gt;"",MAX(A$28:A105)+1,IF(ISNA(HLOOKUP(DATE(YEAR($C$21),MONTH(C106),DAY(C106)),$C$21:$N$21,1,0)),"",MAX(A$28:A105)+1))</f>
        <v>26</v>
      </c>
      <c r="B106" s="91">
        <f>IF(C106&lt;$K$16,"",IF(ISNA(HLOOKUP(DATE(YEAR($C$20),MONTH($C106),DAY($C106)),$C$20:$N$20,1,0)),"",MAX(B$28:B105)+1))</f>
        <v>14</v>
      </c>
      <c r="C106" s="106">
        <f t="shared" si="22"/>
        <v>44377</v>
      </c>
      <c r="D106" s="795">
        <f t="shared" si="17"/>
        <v>42643.616014826257</v>
      </c>
      <c r="E106" s="795">
        <f>IF($A106="","",IF($A106=1,D$29*$F106*($C106-$C$28)/$K$17,
(D106*ROUND(($C106-VLOOKUP($A106-1,$A$28:$C106,3,0))/30,0)/12*$F106)
))</f>
        <v>639.65424022239381</v>
      </c>
      <c r="F106" s="107">
        <f t="shared" si="18"/>
        <v>0.06</v>
      </c>
      <c r="G106" s="795">
        <f t="shared" si="14"/>
        <v>524.77237140251486</v>
      </c>
      <c r="H106" s="795">
        <f t="shared" si="19"/>
        <v>717.64705882352939</v>
      </c>
      <c r="I106" s="795">
        <f t="shared" si="20"/>
        <v>524.77237140251486</v>
      </c>
      <c r="J106" s="795">
        <f t="shared" si="21"/>
        <v>1164.4266116249087</v>
      </c>
      <c r="K106" s="108">
        <f t="shared" si="15"/>
        <v>2021</v>
      </c>
      <c r="L106" s="92" t="str">
        <f t="shared" si="16"/>
        <v/>
      </c>
      <c r="M106" s="79"/>
      <c r="N106" s="80"/>
      <c r="O106" s="79"/>
      <c r="P106" s="82"/>
      <c r="Q106" s="79"/>
      <c r="R106" s="79"/>
    </row>
    <row r="107" spans="1:18" ht="12.75" customHeight="1">
      <c r="A107" s="90" t="str">
        <f>IF(B107&lt;&gt;"",MAX(A$28:A106)+1,IF(ISNA(HLOOKUP(DATE(YEAR($C$21),MONTH(C107),DAY(C107)),$C$21:$N$21,1,0)),"",MAX(A$28:A106)+1))</f>
        <v/>
      </c>
      <c r="B107" s="91" t="str">
        <f>IF(C107&lt;$K$16,"",IF(ISNA(HLOOKUP(DATE(YEAR($C$20),MONTH($C107),DAY($C107)),$C$20:$N$20,1,0)),"",MAX(B$28:B106)+1))</f>
        <v/>
      </c>
      <c r="C107" s="106">
        <f t="shared" si="22"/>
        <v>44408</v>
      </c>
      <c r="D107" s="795">
        <f t="shared" si="17"/>
        <v>42118.843643423745</v>
      </c>
      <c r="E107" s="795" t="str">
        <f>IF($A107="","",IF($A107=1,D$29*$F107*($C107-$C$28)/$K$17,
(D107*ROUND(($C107-VLOOKUP($A107-1,$A$28:$C107,3,0))/30,0)/12*$F107)
))</f>
        <v/>
      </c>
      <c r="F107" s="107">
        <f t="shared" si="18"/>
        <v>0.06</v>
      </c>
      <c r="G107" s="795">
        <f t="shared" si="14"/>
        <v>0</v>
      </c>
      <c r="H107" s="795">
        <f t="shared" si="19"/>
        <v>0</v>
      </c>
      <c r="I107" s="795">
        <f t="shared" si="20"/>
        <v>0</v>
      </c>
      <c r="J107" s="795">
        <f t="shared" si="21"/>
        <v>0</v>
      </c>
      <c r="K107" s="108">
        <f t="shared" si="15"/>
        <v>2021</v>
      </c>
      <c r="L107" s="92" t="str">
        <f t="shared" si="16"/>
        <v/>
      </c>
      <c r="M107" s="79"/>
      <c r="N107" s="80"/>
      <c r="O107" s="79"/>
      <c r="P107" s="82"/>
      <c r="Q107" s="79"/>
      <c r="R107" s="79"/>
    </row>
    <row r="108" spans="1:18" ht="12.75" customHeight="1">
      <c r="A108" s="90" t="str">
        <f>IF(B108&lt;&gt;"",MAX(A$28:A107)+1,IF(ISNA(HLOOKUP(DATE(YEAR($C$21),MONTH(C108),DAY(C108)),$C$21:$N$21,1,0)),"",MAX(A$28:A107)+1))</f>
        <v/>
      </c>
      <c r="B108" s="91" t="str">
        <f>IF(C108&lt;$K$16,"",IF(ISNA(HLOOKUP(DATE(YEAR($C$20),MONTH($C108),DAY($C108)),$C$20:$N$20,1,0)),"",MAX(B$28:B107)+1))</f>
        <v/>
      </c>
      <c r="C108" s="106">
        <f t="shared" si="22"/>
        <v>44439</v>
      </c>
      <c r="D108" s="795">
        <f t="shared" si="17"/>
        <v>42118.843643423745</v>
      </c>
      <c r="E108" s="795" t="str">
        <f>IF($A108="","",IF($A108=1,D$29*$F108*($C108-$C$28)/$K$17,
(D108*ROUND(($C108-VLOOKUP($A108-1,$A$28:$C108,3,0))/30,0)/12*$F108)
))</f>
        <v/>
      </c>
      <c r="F108" s="107">
        <f t="shared" si="18"/>
        <v>0.06</v>
      </c>
      <c r="G108" s="795">
        <f t="shared" si="14"/>
        <v>0</v>
      </c>
      <c r="H108" s="795">
        <f t="shared" si="19"/>
        <v>0</v>
      </c>
      <c r="I108" s="795">
        <f t="shared" si="20"/>
        <v>0</v>
      </c>
      <c r="J108" s="795">
        <f t="shared" si="21"/>
        <v>0</v>
      </c>
      <c r="K108" s="108">
        <f t="shared" si="15"/>
        <v>2021</v>
      </c>
      <c r="L108" s="92" t="str">
        <f t="shared" si="16"/>
        <v/>
      </c>
      <c r="M108" s="79"/>
      <c r="N108" s="80"/>
      <c r="O108" s="79"/>
      <c r="P108" s="82"/>
      <c r="Q108" s="79"/>
      <c r="R108" s="79"/>
    </row>
    <row r="109" spans="1:18" ht="12.75" customHeight="1">
      <c r="A109" s="90">
        <f>IF(B109&lt;&gt;"",MAX(A$28:A108)+1,IF(ISNA(HLOOKUP(DATE(YEAR($C$21),MONTH(C109),DAY(C109)),$C$21:$N$21,1,0)),"",MAX(A$28:A108)+1))</f>
        <v>27</v>
      </c>
      <c r="B109" s="91">
        <f>IF(C109&lt;$K$16,"",IF(ISNA(HLOOKUP(DATE(YEAR($C$20),MONTH($C109),DAY($C109)),$C$20:$N$20,1,0)),"",MAX(B$28:B108)+1))</f>
        <v>15</v>
      </c>
      <c r="C109" s="106">
        <f t="shared" si="22"/>
        <v>44469</v>
      </c>
      <c r="D109" s="795">
        <f t="shared" si="17"/>
        <v>42118.843643423745</v>
      </c>
      <c r="E109" s="795">
        <f>IF($A109="","",IF($A109=1,D$29*$F109*($C109-$C$28)/$K$17,
(D109*ROUND(($C109-VLOOKUP($A109-1,$A$28:$C109,3,0))/30,0)/12*$F109)
))</f>
        <v>631.7826546513561</v>
      </c>
      <c r="F109" s="107">
        <f t="shared" si="18"/>
        <v>0.06</v>
      </c>
      <c r="G109" s="795">
        <f t="shared" si="14"/>
        <v>532.64395697355258</v>
      </c>
      <c r="H109" s="795">
        <f t="shared" si="19"/>
        <v>717.64705882352939</v>
      </c>
      <c r="I109" s="795">
        <f t="shared" si="20"/>
        <v>532.64395697355258</v>
      </c>
      <c r="J109" s="795">
        <f t="shared" si="21"/>
        <v>1164.4266116249087</v>
      </c>
      <c r="K109" s="108">
        <f t="shared" si="15"/>
        <v>2021</v>
      </c>
      <c r="L109" s="92" t="str">
        <f t="shared" si="16"/>
        <v/>
      </c>
      <c r="M109" s="79"/>
      <c r="N109" s="80"/>
      <c r="O109" s="79"/>
      <c r="P109" s="82"/>
      <c r="Q109" s="79"/>
      <c r="R109" s="79"/>
    </row>
    <row r="110" spans="1:18" ht="12.75" customHeight="1">
      <c r="A110" s="90" t="str">
        <f>IF(B110&lt;&gt;"",MAX(A$28:A109)+1,IF(ISNA(HLOOKUP(DATE(YEAR($C$21),MONTH(C110),DAY(C110)),$C$21:$N$21,1,0)),"",MAX(A$28:A109)+1))</f>
        <v/>
      </c>
      <c r="B110" s="91" t="str">
        <f>IF(C110&lt;$K$16,"",IF(ISNA(HLOOKUP(DATE(YEAR($C$20),MONTH($C110),DAY($C110)),$C$20:$N$20,1,0)),"",MAX(B$28:B109)+1))</f>
        <v/>
      </c>
      <c r="C110" s="106">
        <f t="shared" si="22"/>
        <v>44500</v>
      </c>
      <c r="D110" s="795">
        <f t="shared" si="17"/>
        <v>41586.199686450193</v>
      </c>
      <c r="E110" s="795" t="str">
        <f>IF($A110="","",IF($A110=1,D$29*$F110*($C110-$C$28)/$K$17,
(D110*ROUND(($C110-VLOOKUP($A110-1,$A$28:$C110,3,0))/30,0)/12*$F110)
))</f>
        <v/>
      </c>
      <c r="F110" s="107">
        <f t="shared" si="18"/>
        <v>0.06</v>
      </c>
      <c r="G110" s="795">
        <f t="shared" si="14"/>
        <v>0</v>
      </c>
      <c r="H110" s="795">
        <f t="shared" si="19"/>
        <v>0</v>
      </c>
      <c r="I110" s="795">
        <f t="shared" si="20"/>
        <v>0</v>
      </c>
      <c r="J110" s="795">
        <f t="shared" si="21"/>
        <v>0</v>
      </c>
      <c r="K110" s="108">
        <f t="shared" si="15"/>
        <v>2021</v>
      </c>
      <c r="L110" s="92" t="str">
        <f t="shared" si="16"/>
        <v/>
      </c>
      <c r="M110" s="79"/>
      <c r="N110" s="80"/>
      <c r="O110" s="79"/>
      <c r="P110" s="82"/>
      <c r="Q110" s="79"/>
      <c r="R110" s="79"/>
    </row>
    <row r="111" spans="1:18" ht="12.75" customHeight="1">
      <c r="A111" s="90" t="str">
        <f>IF(B111&lt;&gt;"",MAX(A$28:A110)+1,IF(ISNA(HLOOKUP(DATE(YEAR($C$21),MONTH(C111),DAY(C111)),$C$21:$N$21,1,0)),"",MAX(A$28:A110)+1))</f>
        <v/>
      </c>
      <c r="B111" s="91" t="str">
        <f>IF(C111&lt;$K$16,"",IF(ISNA(HLOOKUP(DATE(YEAR($C$20),MONTH($C111),DAY($C111)),$C$20:$N$20,1,0)),"",MAX(B$28:B110)+1))</f>
        <v/>
      </c>
      <c r="C111" s="106">
        <f t="shared" si="22"/>
        <v>44530</v>
      </c>
      <c r="D111" s="795">
        <f t="shared" si="17"/>
        <v>41586.199686450193</v>
      </c>
      <c r="E111" s="795" t="str">
        <f>IF($A111="","",IF($A111=1,D$29*$F111*($C111-$C$28)/$K$17,
(D111*ROUND(($C111-VLOOKUP($A111-1,$A$28:$C111,3,0))/30,0)/12*$F111)
))</f>
        <v/>
      </c>
      <c r="F111" s="107">
        <f t="shared" si="18"/>
        <v>0.06</v>
      </c>
      <c r="G111" s="795">
        <f t="shared" si="14"/>
        <v>0</v>
      </c>
      <c r="H111" s="795">
        <f t="shared" si="19"/>
        <v>0</v>
      </c>
      <c r="I111" s="795">
        <f t="shared" si="20"/>
        <v>0</v>
      </c>
      <c r="J111" s="795">
        <f t="shared" si="21"/>
        <v>0</v>
      </c>
      <c r="K111" s="108">
        <f t="shared" si="15"/>
        <v>2021</v>
      </c>
      <c r="L111" s="92" t="str">
        <f t="shared" si="16"/>
        <v/>
      </c>
      <c r="M111" s="79"/>
      <c r="N111" s="80"/>
      <c r="O111" s="79"/>
      <c r="P111" s="82"/>
      <c r="Q111" s="79"/>
      <c r="R111" s="79"/>
    </row>
    <row r="112" spans="1:18" ht="12.75" customHeight="1">
      <c r="A112" s="90">
        <f>IF(B112&lt;&gt;"",MAX(A$28:A111)+1,IF(ISNA(HLOOKUP(DATE(YEAR($C$21),MONTH(C112),DAY(C112)),$C$21:$N$21,1,0)),"",MAX(A$28:A111)+1))</f>
        <v>28</v>
      </c>
      <c r="B112" s="91">
        <f>IF(C112&lt;$K$16,"",IF(ISNA(HLOOKUP(DATE(YEAR($C$20),MONTH($C112),DAY($C112)),$C$20:$N$20,1,0)),"",MAX(B$28:B111)+1))</f>
        <v>16</v>
      </c>
      <c r="C112" s="106">
        <f t="shared" si="22"/>
        <v>44561</v>
      </c>
      <c r="D112" s="795">
        <f t="shared" si="17"/>
        <v>41586.199686450193</v>
      </c>
      <c r="E112" s="795">
        <f>IF($A112="","",IF($A112=1,D$29*$F112*($C112-$C$28)/$K$17,
(D112*ROUND(($C112-VLOOKUP($A112-1,$A$28:$C112,3,0))/30,0)/12*$F112)
))</f>
        <v>623.79299529675291</v>
      </c>
      <c r="F112" s="107">
        <f t="shared" si="18"/>
        <v>0.06</v>
      </c>
      <c r="G112" s="795">
        <f t="shared" si="14"/>
        <v>540.63361632815577</v>
      </c>
      <c r="H112" s="795">
        <f t="shared" si="19"/>
        <v>717.64705882352939</v>
      </c>
      <c r="I112" s="795">
        <f t="shared" si="20"/>
        <v>540.63361632815577</v>
      </c>
      <c r="J112" s="795">
        <f t="shared" si="21"/>
        <v>1164.4266116249087</v>
      </c>
      <c r="K112" s="108">
        <f t="shared" si="15"/>
        <v>2021</v>
      </c>
      <c r="L112" s="92" t="str">
        <f t="shared" si="16"/>
        <v/>
      </c>
      <c r="M112" s="79"/>
      <c r="N112" s="80"/>
      <c r="O112" s="79"/>
      <c r="P112" s="82"/>
      <c r="Q112" s="79"/>
      <c r="R112" s="79"/>
    </row>
    <row r="113" spans="1:18" ht="12.75" customHeight="1">
      <c r="A113" s="90" t="str">
        <f>IF(B113&lt;&gt;"",MAX(A$28:A112)+1,IF(ISNA(HLOOKUP(DATE(YEAR($C$21),MONTH(C113),DAY(C113)),$C$21:$N$21,1,0)),"",MAX(A$28:A112)+1))</f>
        <v/>
      </c>
      <c r="B113" s="91" t="str">
        <f>IF(C113&lt;$K$16,"",IF(ISNA(HLOOKUP(DATE(YEAR($C$20),MONTH($C113),DAY($C113)),$C$20:$N$20,1,0)),"",MAX(B$28:B112)+1))</f>
        <v/>
      </c>
      <c r="C113" s="106">
        <f t="shared" si="22"/>
        <v>44592</v>
      </c>
      <c r="D113" s="795">
        <f t="shared" si="17"/>
        <v>41045.566070122033</v>
      </c>
      <c r="E113" s="795" t="str">
        <f>IF($A113="","",IF($A113=1,D$29*$F113*($C113-$C$28)/$K$17,
(D113*ROUND(($C113-VLOOKUP($A113-1,$A$28:$C113,3,0))/30,0)/12*$F113)
))</f>
        <v/>
      </c>
      <c r="F113" s="107">
        <f t="shared" si="18"/>
        <v>0.06</v>
      </c>
      <c r="G113" s="795">
        <f t="shared" si="14"/>
        <v>0</v>
      </c>
      <c r="H113" s="795">
        <f t="shared" si="19"/>
        <v>0</v>
      </c>
      <c r="I113" s="795">
        <f t="shared" si="20"/>
        <v>0</v>
      </c>
      <c r="J113" s="795">
        <f t="shared" si="21"/>
        <v>0</v>
      </c>
      <c r="K113" s="108">
        <f t="shared" si="15"/>
        <v>2022</v>
      </c>
      <c r="L113" s="92" t="str">
        <f t="shared" si="16"/>
        <v/>
      </c>
      <c r="M113" s="79"/>
      <c r="N113" s="80"/>
      <c r="O113" s="79"/>
      <c r="P113" s="82"/>
      <c r="Q113" s="79"/>
      <c r="R113" s="79"/>
    </row>
    <row r="114" spans="1:18" ht="12.75" customHeight="1">
      <c r="A114" s="90" t="str">
        <f>IF(B114&lt;&gt;"",MAX(A$28:A113)+1,IF(ISNA(HLOOKUP(DATE(YEAR($C$21),MONTH(C114),DAY(C114)),$C$21:$N$21,1,0)),"",MAX(A$28:A113)+1))</f>
        <v/>
      </c>
      <c r="B114" s="91" t="str">
        <f>IF(C114&lt;$K$16,"",IF(ISNA(HLOOKUP(DATE(YEAR($C$20),MONTH($C114),DAY($C114)),$C$20:$N$20,1,0)),"",MAX(B$28:B113)+1))</f>
        <v/>
      </c>
      <c r="C114" s="106">
        <f t="shared" si="22"/>
        <v>44620</v>
      </c>
      <c r="D114" s="795">
        <f t="shared" si="17"/>
        <v>41045.566070122033</v>
      </c>
      <c r="E114" s="795" t="str">
        <f>IF($A114="","",IF($A114=1,D$29*$F114*($C114-$C$28)/$K$17,
(D114*ROUND(($C114-VLOOKUP($A114-1,$A$28:$C114,3,0))/30,0)/12*$F114)
))</f>
        <v/>
      </c>
      <c r="F114" s="107">
        <f t="shared" si="18"/>
        <v>0.06</v>
      </c>
      <c r="G114" s="795">
        <f t="shared" si="14"/>
        <v>0</v>
      </c>
      <c r="H114" s="795">
        <f t="shared" si="19"/>
        <v>0</v>
      </c>
      <c r="I114" s="795">
        <f t="shared" si="20"/>
        <v>0</v>
      </c>
      <c r="J114" s="795">
        <f t="shared" si="21"/>
        <v>0</v>
      </c>
      <c r="K114" s="108">
        <f t="shared" si="15"/>
        <v>2022</v>
      </c>
      <c r="L114" s="92" t="str">
        <f t="shared" si="16"/>
        <v/>
      </c>
      <c r="M114" s="79"/>
      <c r="N114" s="80"/>
      <c r="O114" s="79"/>
      <c r="P114" s="82"/>
      <c r="Q114" s="79"/>
      <c r="R114" s="79"/>
    </row>
    <row r="115" spans="1:18" ht="12.75" customHeight="1">
      <c r="A115" s="90">
        <f>IF(B115&lt;&gt;"",MAX(A$28:A114)+1,IF(ISNA(HLOOKUP(DATE(YEAR($C$21),MONTH(C115),DAY(C115)),$C$21:$N$21,1,0)),"",MAX(A$28:A114)+1))</f>
        <v>29</v>
      </c>
      <c r="B115" s="91">
        <f>IF(C115&lt;$K$16,"",IF(ISNA(HLOOKUP(DATE(YEAR($C$20),MONTH($C115),DAY($C115)),$C$20:$N$20,1,0)),"",MAX(B$28:B114)+1))</f>
        <v>17</v>
      </c>
      <c r="C115" s="106">
        <f t="shared" si="22"/>
        <v>44651</v>
      </c>
      <c r="D115" s="795">
        <f t="shared" si="17"/>
        <v>41045.566070122033</v>
      </c>
      <c r="E115" s="795">
        <f>IF($A115="","",IF($A115=1,D$29*$F115*($C115-$C$28)/$K$17,
(D115*ROUND(($C115-VLOOKUP($A115-1,$A$28:$C115,3,0))/30,0)/12*$F115)
))</f>
        <v>615.68349105183052</v>
      </c>
      <c r="F115" s="107">
        <f t="shared" si="18"/>
        <v>0.06</v>
      </c>
      <c r="G115" s="795">
        <f t="shared" si="14"/>
        <v>548.74312057307816</v>
      </c>
      <c r="H115" s="795">
        <f t="shared" si="19"/>
        <v>717.64705882352939</v>
      </c>
      <c r="I115" s="795">
        <f t="shared" si="20"/>
        <v>548.74312057307816</v>
      </c>
      <c r="J115" s="795">
        <f t="shared" si="21"/>
        <v>1164.4266116249087</v>
      </c>
      <c r="K115" s="108">
        <f t="shared" si="15"/>
        <v>2022</v>
      </c>
      <c r="L115" s="92" t="str">
        <f t="shared" si="16"/>
        <v/>
      </c>
      <c r="M115" s="79"/>
      <c r="N115" s="80"/>
      <c r="O115" s="79"/>
      <c r="P115" s="82"/>
      <c r="Q115" s="79"/>
      <c r="R115" s="79"/>
    </row>
    <row r="116" spans="1:18" ht="12.75" customHeight="1">
      <c r="A116" s="90" t="str">
        <f>IF(B116&lt;&gt;"",MAX(A$28:A115)+1,IF(ISNA(HLOOKUP(DATE(YEAR($C$21),MONTH(C116),DAY(C116)),$C$21:$N$21,1,0)),"",MAX(A$28:A115)+1))</f>
        <v/>
      </c>
      <c r="B116" s="91" t="str">
        <f>IF(C116&lt;$K$16,"",IF(ISNA(HLOOKUP(DATE(YEAR($C$20),MONTH($C116),DAY($C116)),$C$20:$N$20,1,0)),"",MAX(B$28:B115)+1))</f>
        <v/>
      </c>
      <c r="C116" s="106">
        <f t="shared" si="22"/>
        <v>44681</v>
      </c>
      <c r="D116" s="795">
        <f t="shared" si="17"/>
        <v>40496.822949548958</v>
      </c>
      <c r="E116" s="795" t="str">
        <f>IF($A116="","",IF($A116=1,D$29*$F116*($C116-$C$28)/$K$17,
(D116*ROUND(($C116-VLOOKUP($A116-1,$A$28:$C116,3,0))/30,0)/12*$F116)
))</f>
        <v/>
      </c>
      <c r="F116" s="107">
        <f t="shared" si="18"/>
        <v>0.06</v>
      </c>
      <c r="G116" s="795">
        <f t="shared" si="14"/>
        <v>0</v>
      </c>
      <c r="H116" s="795">
        <f t="shared" si="19"/>
        <v>0</v>
      </c>
      <c r="I116" s="795">
        <f t="shared" si="20"/>
        <v>0</v>
      </c>
      <c r="J116" s="795">
        <f t="shared" si="21"/>
        <v>0</v>
      </c>
      <c r="K116" s="108">
        <f t="shared" si="15"/>
        <v>2022</v>
      </c>
      <c r="L116" s="92" t="str">
        <f t="shared" si="16"/>
        <v/>
      </c>
      <c r="M116" s="79"/>
      <c r="N116" s="80"/>
      <c r="O116" s="79"/>
      <c r="P116" s="82"/>
      <c r="Q116" s="79"/>
      <c r="R116" s="79"/>
    </row>
    <row r="117" spans="1:18" ht="12.75" customHeight="1">
      <c r="A117" s="90" t="str">
        <f>IF(B117&lt;&gt;"",MAX(A$28:A116)+1,IF(ISNA(HLOOKUP(DATE(YEAR($C$21),MONTH(C117),DAY(C117)),$C$21:$N$21,1,0)),"",MAX(A$28:A116)+1))</f>
        <v/>
      </c>
      <c r="B117" s="91" t="str">
        <f>IF(C117&lt;$K$16,"",IF(ISNA(HLOOKUP(DATE(YEAR($C$20),MONTH($C117),DAY($C117)),$C$20:$N$20,1,0)),"",MAX(B$28:B116)+1))</f>
        <v/>
      </c>
      <c r="C117" s="106">
        <f t="shared" si="22"/>
        <v>44712</v>
      </c>
      <c r="D117" s="795">
        <f t="shared" si="17"/>
        <v>40496.822949548958</v>
      </c>
      <c r="E117" s="795" t="str">
        <f>IF($A117="","",IF($A117=1,D$29*$F117*($C117-$C$28)/$K$17,
(D117*ROUND(($C117-VLOOKUP($A117-1,$A$28:$C117,3,0))/30,0)/12*$F117)
))</f>
        <v/>
      </c>
      <c r="F117" s="107">
        <f t="shared" si="18"/>
        <v>0.06</v>
      </c>
      <c r="G117" s="795">
        <f t="shared" si="14"/>
        <v>0</v>
      </c>
      <c r="H117" s="795">
        <f t="shared" si="19"/>
        <v>0</v>
      </c>
      <c r="I117" s="795">
        <f t="shared" si="20"/>
        <v>0</v>
      </c>
      <c r="J117" s="795">
        <f t="shared" si="21"/>
        <v>0</v>
      </c>
      <c r="K117" s="108">
        <f t="shared" si="15"/>
        <v>2022</v>
      </c>
      <c r="L117" s="92" t="str">
        <f t="shared" si="16"/>
        <v/>
      </c>
    </row>
    <row r="118" spans="1:18" ht="12.75" customHeight="1">
      <c r="A118" s="90">
        <f>IF(B118&lt;&gt;"",MAX(A$28:A117)+1,IF(ISNA(HLOOKUP(DATE(YEAR($C$21),MONTH(C118),DAY(C118)),$C$21:$N$21,1,0)),"",MAX(A$28:A117)+1))</f>
        <v>30</v>
      </c>
      <c r="B118" s="91">
        <f>IF(C118&lt;$K$16,"",IF(ISNA(HLOOKUP(DATE(YEAR($C$20),MONTH($C118),DAY($C118)),$C$20:$N$20,1,0)),"",MAX(B$28:B117)+1))</f>
        <v>18</v>
      </c>
      <c r="C118" s="106">
        <f t="shared" si="22"/>
        <v>44742</v>
      </c>
      <c r="D118" s="795">
        <f t="shared" si="17"/>
        <v>40496.822949548958</v>
      </c>
      <c r="E118" s="795">
        <f>IF($A118="","",IF($A118=1,D$29*$F118*($C118-$C$28)/$K$17,
(D118*ROUND(($C118-VLOOKUP($A118-1,$A$28:$C118,3,0))/30,0)/12*$F118)
))</f>
        <v>607.45234424323439</v>
      </c>
      <c r="F118" s="107">
        <f t="shared" si="18"/>
        <v>0.06</v>
      </c>
      <c r="G118" s="795">
        <f t="shared" si="14"/>
        <v>556.97426738167428</v>
      </c>
      <c r="H118" s="795">
        <f t="shared" si="19"/>
        <v>717.64705882352939</v>
      </c>
      <c r="I118" s="795">
        <f t="shared" si="20"/>
        <v>556.97426738167428</v>
      </c>
      <c r="J118" s="795">
        <f t="shared" si="21"/>
        <v>1164.4266116249087</v>
      </c>
      <c r="K118" s="108">
        <f t="shared" si="15"/>
        <v>2022</v>
      </c>
      <c r="L118" s="92" t="str">
        <f t="shared" si="16"/>
        <v/>
      </c>
    </row>
    <row r="119" spans="1:18" ht="12.75" customHeight="1">
      <c r="A119" s="90" t="str">
        <f>IF(B119&lt;&gt;"",MAX(A$28:A118)+1,IF(ISNA(HLOOKUP(DATE(YEAR($C$21),MONTH(C119),DAY(C119)),$C$21:$N$21,1,0)),"",MAX(A$28:A118)+1))</f>
        <v/>
      </c>
      <c r="B119" s="91" t="str">
        <f>IF(C119&lt;$K$16,"",IF(ISNA(HLOOKUP(DATE(YEAR($C$20),MONTH($C119),DAY($C119)),$C$20:$N$20,1,0)),"",MAX(B$28:B118)+1))</f>
        <v/>
      </c>
      <c r="C119" s="106">
        <f t="shared" si="22"/>
        <v>44773</v>
      </c>
      <c r="D119" s="795">
        <f t="shared" si="17"/>
        <v>39939.848682167285</v>
      </c>
      <c r="E119" s="795" t="str">
        <f>IF($A119="","",IF($A119=1,D$29*$F119*($C119-$C$28)/$K$17,
(D119*ROUND(($C119-VLOOKUP($A119-1,$A$28:$C119,3,0))/30,0)/12*$F119)
))</f>
        <v/>
      </c>
      <c r="F119" s="107">
        <f t="shared" si="18"/>
        <v>0.06</v>
      </c>
      <c r="G119" s="795">
        <f t="shared" si="14"/>
        <v>0</v>
      </c>
      <c r="H119" s="795">
        <f t="shared" si="19"/>
        <v>0</v>
      </c>
      <c r="I119" s="795">
        <f t="shared" si="20"/>
        <v>0</v>
      </c>
      <c r="J119" s="795">
        <f t="shared" si="21"/>
        <v>0</v>
      </c>
      <c r="K119" s="108">
        <f t="shared" si="15"/>
        <v>2022</v>
      </c>
      <c r="L119" s="92" t="str">
        <f t="shared" si="16"/>
        <v/>
      </c>
    </row>
    <row r="120" spans="1:18" ht="12.75" customHeight="1">
      <c r="A120" s="90" t="str">
        <f>IF(B120&lt;&gt;"",MAX(A$28:A119)+1,IF(ISNA(HLOOKUP(DATE(YEAR($C$21),MONTH(C120),DAY(C120)),$C$21:$N$21,1,0)),"",MAX(A$28:A119)+1))</f>
        <v/>
      </c>
      <c r="B120" s="91" t="str">
        <f>IF(C120&lt;$K$16,"",IF(ISNA(HLOOKUP(DATE(YEAR($C$20),MONTH($C120),DAY($C120)),$C$20:$N$20,1,0)),"",MAX(B$28:B119)+1))</f>
        <v/>
      </c>
      <c r="C120" s="106">
        <f t="shared" si="22"/>
        <v>44804</v>
      </c>
      <c r="D120" s="795">
        <f t="shared" si="17"/>
        <v>39939.848682167285</v>
      </c>
      <c r="E120" s="795" t="str">
        <f>IF($A120="","",IF($A120=1,D$29*$F120*($C120-$C$28)/$K$17,
(D120*ROUND(($C120-VLOOKUP($A120-1,$A$28:$C120,3,0))/30,0)/12*$F120)
))</f>
        <v/>
      </c>
      <c r="F120" s="107">
        <f t="shared" si="18"/>
        <v>0.06</v>
      </c>
      <c r="G120" s="795">
        <f t="shared" si="14"/>
        <v>0</v>
      </c>
      <c r="H120" s="795">
        <f t="shared" si="19"/>
        <v>0</v>
      </c>
      <c r="I120" s="795">
        <f t="shared" si="20"/>
        <v>0</v>
      </c>
      <c r="J120" s="795">
        <f t="shared" si="21"/>
        <v>0</v>
      </c>
      <c r="K120" s="108">
        <f t="shared" si="15"/>
        <v>2022</v>
      </c>
      <c r="L120" s="92" t="str">
        <f t="shared" si="16"/>
        <v/>
      </c>
    </row>
    <row r="121" spans="1:18" ht="12.75" customHeight="1">
      <c r="A121" s="90">
        <f>IF(B121&lt;&gt;"",MAX(A$28:A120)+1,IF(ISNA(HLOOKUP(DATE(YEAR($C$21),MONTH(C121),DAY(C121)),$C$21:$N$21,1,0)),"",MAX(A$28:A120)+1))</f>
        <v>31</v>
      </c>
      <c r="B121" s="91">
        <f>IF(C121&lt;$K$16,"",IF(ISNA(HLOOKUP(DATE(YEAR($C$20),MONTH($C121),DAY($C121)),$C$20:$N$20,1,0)),"",MAX(B$28:B120)+1))</f>
        <v>19</v>
      </c>
      <c r="C121" s="106">
        <f t="shared" si="22"/>
        <v>44834</v>
      </c>
      <c r="D121" s="795">
        <f t="shared" si="17"/>
        <v>39939.848682167285</v>
      </c>
      <c r="E121" s="795">
        <f>IF($A121="","",IF($A121=1,D$29*$F121*($C121-$C$28)/$K$17,
(D121*ROUND(($C121-VLOOKUP($A121-1,$A$28:$C121,3,0))/30,0)/12*$F121)
))</f>
        <v>599.09773023250921</v>
      </c>
      <c r="F121" s="107">
        <f t="shared" si="18"/>
        <v>0.06</v>
      </c>
      <c r="G121" s="795">
        <f t="shared" si="14"/>
        <v>565.32888139239947</v>
      </c>
      <c r="H121" s="795">
        <f t="shared" si="19"/>
        <v>717.64705882352939</v>
      </c>
      <c r="I121" s="795">
        <f t="shared" si="20"/>
        <v>565.32888139239947</v>
      </c>
      <c r="J121" s="795">
        <f t="shared" si="21"/>
        <v>1164.4266116249087</v>
      </c>
      <c r="K121" s="108">
        <f t="shared" si="15"/>
        <v>2022</v>
      </c>
      <c r="L121" s="92" t="str">
        <f t="shared" si="16"/>
        <v/>
      </c>
    </row>
    <row r="122" spans="1:18" ht="12.75" customHeight="1">
      <c r="A122" s="90" t="str">
        <f>IF(B122&lt;&gt;"",MAX(A$28:A121)+1,IF(ISNA(HLOOKUP(DATE(YEAR($C$21),MONTH(C122),DAY(C122)),$C$21:$N$21,1,0)),"",MAX(A$28:A121)+1))</f>
        <v/>
      </c>
      <c r="B122" s="91" t="str">
        <f>IF(C122&lt;$K$16,"",IF(ISNA(HLOOKUP(DATE(YEAR($C$20),MONTH($C122),DAY($C122)),$C$20:$N$20,1,0)),"",MAX(B$28:B121)+1))</f>
        <v/>
      </c>
      <c r="C122" s="106">
        <f t="shared" si="22"/>
        <v>44865</v>
      </c>
      <c r="D122" s="795">
        <f t="shared" si="17"/>
        <v>39374.519800774884</v>
      </c>
      <c r="E122" s="795" t="str">
        <f>IF($A122="","",IF($A122=1,D$29*$F122*($C122-$C$28)/$K$17,
(D122*ROUND(($C122-VLOOKUP($A122-1,$A$28:$C122,3,0))/30,0)/12*$F122)
))</f>
        <v/>
      </c>
      <c r="F122" s="107">
        <f t="shared" si="18"/>
        <v>0.06</v>
      </c>
      <c r="G122" s="795">
        <f t="shared" si="14"/>
        <v>0</v>
      </c>
      <c r="H122" s="795">
        <f t="shared" si="19"/>
        <v>0</v>
      </c>
      <c r="I122" s="795">
        <f t="shared" si="20"/>
        <v>0</v>
      </c>
      <c r="J122" s="795">
        <f t="shared" si="21"/>
        <v>0</v>
      </c>
      <c r="K122" s="108">
        <f t="shared" si="15"/>
        <v>2022</v>
      </c>
      <c r="L122" s="92" t="str">
        <f t="shared" si="16"/>
        <v/>
      </c>
    </row>
    <row r="123" spans="1:18" ht="12.75" customHeight="1">
      <c r="A123" s="90" t="str">
        <f>IF(B123&lt;&gt;"",MAX(A$28:A122)+1,IF(ISNA(HLOOKUP(DATE(YEAR($C$21),MONTH(C123),DAY(C123)),$C$21:$N$21,1,0)),"",MAX(A$28:A122)+1))</f>
        <v/>
      </c>
      <c r="B123" s="91" t="str">
        <f>IF(C123&lt;$K$16,"",IF(ISNA(HLOOKUP(DATE(YEAR($C$20),MONTH($C123),DAY($C123)),$C$20:$N$20,1,0)),"",MAX(B$28:B122)+1))</f>
        <v/>
      </c>
      <c r="C123" s="106">
        <f t="shared" si="22"/>
        <v>44895</v>
      </c>
      <c r="D123" s="795">
        <f t="shared" si="17"/>
        <v>39374.519800774884</v>
      </c>
      <c r="E123" s="795" t="str">
        <f>IF($A123="","",IF($A123=1,D$29*$F123*($C123-$C$28)/$K$17,
(D123*ROUND(($C123-VLOOKUP($A123-1,$A$28:$C123,3,0))/30,0)/12*$F123)
))</f>
        <v/>
      </c>
      <c r="F123" s="107">
        <f t="shared" si="18"/>
        <v>0.06</v>
      </c>
      <c r="G123" s="795">
        <f t="shared" si="14"/>
        <v>0</v>
      </c>
      <c r="H123" s="795">
        <f t="shared" si="19"/>
        <v>0</v>
      </c>
      <c r="I123" s="795">
        <f t="shared" si="20"/>
        <v>0</v>
      </c>
      <c r="J123" s="795">
        <f t="shared" si="21"/>
        <v>0</v>
      </c>
      <c r="K123" s="108">
        <f t="shared" si="15"/>
        <v>2022</v>
      </c>
      <c r="L123" s="92" t="str">
        <f t="shared" si="16"/>
        <v/>
      </c>
    </row>
    <row r="124" spans="1:18" ht="12.75" customHeight="1">
      <c r="A124" s="90">
        <f>IF(B124&lt;&gt;"",MAX(A$28:A123)+1,IF(ISNA(HLOOKUP(DATE(YEAR($C$21),MONTH(C124),DAY(C124)),$C$21:$N$21,1,0)),"",MAX(A$28:A123)+1))</f>
        <v>32</v>
      </c>
      <c r="B124" s="91">
        <f>IF(C124&lt;$K$16,"",IF(ISNA(HLOOKUP(DATE(YEAR($C$20),MONTH($C124),DAY($C124)),$C$20:$N$20,1,0)),"",MAX(B$28:B123)+1))</f>
        <v>20</v>
      </c>
      <c r="C124" s="106">
        <f t="shared" si="22"/>
        <v>44926</v>
      </c>
      <c r="D124" s="795">
        <f t="shared" si="17"/>
        <v>39374.519800774884</v>
      </c>
      <c r="E124" s="795">
        <f>IF($A124="","",IF($A124=1,D$29*$F124*($C124-$C$28)/$K$17,
(D124*ROUND(($C124-VLOOKUP($A124-1,$A$28:$C124,3,0))/30,0)/12*$F124)
))</f>
        <v>590.61779701162322</v>
      </c>
      <c r="F124" s="107">
        <f t="shared" si="18"/>
        <v>0.06</v>
      </c>
      <c r="G124" s="795">
        <f t="shared" si="14"/>
        <v>573.80881461328545</v>
      </c>
      <c r="H124" s="795">
        <f t="shared" si="19"/>
        <v>717.64705882352939</v>
      </c>
      <c r="I124" s="795">
        <f t="shared" si="20"/>
        <v>573.80881461328545</v>
      </c>
      <c r="J124" s="795">
        <f t="shared" si="21"/>
        <v>1164.4266116249087</v>
      </c>
      <c r="K124" s="108">
        <f t="shared" si="15"/>
        <v>2022</v>
      </c>
      <c r="L124" s="92" t="str">
        <f t="shared" si="16"/>
        <v/>
      </c>
    </row>
    <row r="125" spans="1:18" ht="12.75" customHeight="1">
      <c r="A125" s="90" t="str">
        <f>IF(B125&lt;&gt;"",MAX(A$28:A124)+1,IF(ISNA(HLOOKUP(DATE(YEAR($C$21),MONTH(C125),DAY(C125)),$C$21:$N$21,1,0)),"",MAX(A$28:A124)+1))</f>
        <v/>
      </c>
      <c r="B125" s="91" t="str">
        <f>IF(C125&lt;$K$16,"",IF(ISNA(HLOOKUP(DATE(YEAR($C$20),MONTH($C125),DAY($C125)),$C$20:$N$20,1,0)),"",MAX(B$28:B124)+1))</f>
        <v/>
      </c>
      <c r="C125" s="106">
        <f t="shared" si="22"/>
        <v>44957</v>
      </c>
      <c r="D125" s="795">
        <f t="shared" si="17"/>
        <v>38800.710986161597</v>
      </c>
      <c r="E125" s="795" t="str">
        <f>IF($A125="","",IF($A125=1,D$29*$F125*($C125-$C$28)/$K$17,
(D125*ROUND(($C125-VLOOKUP($A125-1,$A$28:$C125,3,0))/30,0)/12*$F125)
))</f>
        <v/>
      </c>
      <c r="F125" s="107">
        <f t="shared" si="18"/>
        <v>0.06</v>
      </c>
      <c r="G125" s="795">
        <f t="shared" si="14"/>
        <v>0</v>
      </c>
      <c r="H125" s="795">
        <f t="shared" si="19"/>
        <v>0</v>
      </c>
      <c r="I125" s="795">
        <f t="shared" si="20"/>
        <v>0</v>
      </c>
      <c r="J125" s="795">
        <f t="shared" si="21"/>
        <v>0</v>
      </c>
      <c r="K125" s="108">
        <f t="shared" si="15"/>
        <v>2023</v>
      </c>
      <c r="L125" s="92" t="str">
        <f t="shared" si="16"/>
        <v/>
      </c>
    </row>
    <row r="126" spans="1:18" ht="12.75" customHeight="1">
      <c r="A126" s="90" t="str">
        <f>IF(B126&lt;&gt;"",MAX(A$28:A125)+1,IF(ISNA(HLOOKUP(DATE(YEAR($C$21),MONTH(C126),DAY(C126)),$C$21:$N$21,1,0)),"",MAX(A$28:A125)+1))</f>
        <v/>
      </c>
      <c r="B126" s="91" t="str">
        <f>IF(C126&lt;$K$16,"",IF(ISNA(HLOOKUP(DATE(YEAR($C$20),MONTH($C126),DAY($C126)),$C$20:$N$20,1,0)),"",MAX(B$28:B125)+1))</f>
        <v/>
      </c>
      <c r="C126" s="106">
        <f t="shared" si="22"/>
        <v>44985</v>
      </c>
      <c r="D126" s="795">
        <f t="shared" si="17"/>
        <v>38800.710986161597</v>
      </c>
      <c r="E126" s="795" t="str">
        <f>IF($A126="","",IF($A126=1,D$29*$F126*($C126-$C$28)/$K$17,
(D126*ROUND(($C126-VLOOKUP($A126-1,$A$28:$C126,3,0))/30,0)/12*$F126)
))</f>
        <v/>
      </c>
      <c r="F126" s="107">
        <f t="shared" si="18"/>
        <v>0.06</v>
      </c>
      <c r="G126" s="795">
        <f t="shared" si="14"/>
        <v>0</v>
      </c>
      <c r="H126" s="795">
        <f t="shared" si="19"/>
        <v>0</v>
      </c>
      <c r="I126" s="795">
        <f t="shared" si="20"/>
        <v>0</v>
      </c>
      <c r="J126" s="795">
        <f t="shared" si="21"/>
        <v>0</v>
      </c>
      <c r="K126" s="108">
        <f t="shared" si="15"/>
        <v>2023</v>
      </c>
      <c r="L126" s="92" t="str">
        <f t="shared" si="16"/>
        <v/>
      </c>
    </row>
    <row r="127" spans="1:18" ht="12.75" customHeight="1">
      <c r="A127" s="90">
        <f>IF(B127&lt;&gt;"",MAX(A$28:A126)+1,IF(ISNA(HLOOKUP(DATE(YEAR($C$21),MONTH(C127),DAY(C127)),$C$21:$N$21,1,0)),"",MAX(A$28:A126)+1))</f>
        <v>33</v>
      </c>
      <c r="B127" s="91">
        <f>IF(C127&lt;$K$16,"",IF(ISNA(HLOOKUP(DATE(YEAR($C$20),MONTH($C127),DAY($C127)),$C$20:$N$20,1,0)),"",MAX(B$28:B126)+1))</f>
        <v>21</v>
      </c>
      <c r="C127" s="106">
        <f t="shared" si="22"/>
        <v>45016</v>
      </c>
      <c r="D127" s="795">
        <f t="shared" si="17"/>
        <v>38800.710986161597</v>
      </c>
      <c r="E127" s="795">
        <f>IF($A127="","",IF($A127=1,D$29*$F127*($C127-$C$28)/$K$17,
(D127*ROUND(($C127-VLOOKUP($A127-1,$A$28:$C127,3,0))/30,0)/12*$F127)
))</f>
        <v>582.01066479242388</v>
      </c>
      <c r="F127" s="107">
        <f t="shared" si="18"/>
        <v>0.06</v>
      </c>
      <c r="G127" s="795">
        <f t="shared" si="14"/>
        <v>582.41594683248479</v>
      </c>
      <c r="H127" s="795">
        <f t="shared" si="19"/>
        <v>717.64705882352939</v>
      </c>
      <c r="I127" s="795">
        <f t="shared" si="20"/>
        <v>582.41594683248479</v>
      </c>
      <c r="J127" s="795">
        <f t="shared" si="21"/>
        <v>1164.4266116249087</v>
      </c>
      <c r="K127" s="108">
        <f t="shared" si="15"/>
        <v>2023</v>
      </c>
      <c r="L127" s="92" t="str">
        <f t="shared" si="16"/>
        <v/>
      </c>
    </row>
    <row r="128" spans="1:18" ht="12.75" customHeight="1">
      <c r="A128" s="90" t="str">
        <f>IF(B128&lt;&gt;"",MAX(A$28:A127)+1,IF(ISNA(HLOOKUP(DATE(YEAR($C$21),MONTH(C128),DAY(C128)),$C$21:$N$21,1,0)),"",MAX(A$28:A127)+1))</f>
        <v/>
      </c>
      <c r="B128" s="91" t="str">
        <f>IF(C128&lt;$K$16,"",IF(ISNA(HLOOKUP(DATE(YEAR($C$20),MONTH($C128),DAY($C128)),$C$20:$N$20,1,0)),"",MAX(B$28:B127)+1))</f>
        <v/>
      </c>
      <c r="C128" s="106">
        <f t="shared" si="22"/>
        <v>45046</v>
      </c>
      <c r="D128" s="795">
        <f t="shared" si="17"/>
        <v>38218.29503932911</v>
      </c>
      <c r="E128" s="795" t="str">
        <f>IF($A128="","",IF($A128=1,D$29*$F128*($C128-$C$28)/$K$17,
(D128*ROUND(($C128-VLOOKUP($A128-1,$A$28:$C128,3,0))/30,0)/12*$F128)
))</f>
        <v/>
      </c>
      <c r="F128" s="107">
        <f t="shared" si="18"/>
        <v>0.06</v>
      </c>
      <c r="G128" s="795">
        <f t="shared" si="14"/>
        <v>0</v>
      </c>
      <c r="H128" s="795">
        <f t="shared" si="19"/>
        <v>0</v>
      </c>
      <c r="I128" s="795">
        <f t="shared" si="20"/>
        <v>0</v>
      </c>
      <c r="J128" s="795">
        <f t="shared" si="21"/>
        <v>0</v>
      </c>
      <c r="K128" s="108">
        <f t="shared" si="15"/>
        <v>2023</v>
      </c>
      <c r="L128" s="92" t="str">
        <f t="shared" si="16"/>
        <v/>
      </c>
    </row>
    <row r="129" spans="1:12" ht="12.75" customHeight="1">
      <c r="A129" s="90" t="str">
        <f>IF(B129&lt;&gt;"",MAX(A$28:A128)+1,IF(ISNA(HLOOKUP(DATE(YEAR($C$21),MONTH(C129),DAY(C129)),$C$21:$N$21,1,0)),"",MAX(A$28:A128)+1))</f>
        <v/>
      </c>
      <c r="B129" s="91" t="str">
        <f>IF(C129&lt;$K$16,"",IF(ISNA(HLOOKUP(DATE(YEAR($C$20),MONTH($C129),DAY($C129)),$C$20:$N$20,1,0)),"",MAX(B$28:B128)+1))</f>
        <v/>
      </c>
      <c r="C129" s="106">
        <f t="shared" si="22"/>
        <v>45077</v>
      </c>
      <c r="D129" s="795">
        <f t="shared" si="17"/>
        <v>38218.29503932911</v>
      </c>
      <c r="E129" s="795" t="str">
        <f>IF($A129="","",IF($A129=1,D$29*$F129*($C129-$C$28)/$K$17,
(D129*ROUND(($C129-VLOOKUP($A129-1,$A$28:$C129,3,0))/30,0)/12*$F129)
))</f>
        <v/>
      </c>
      <c r="F129" s="107">
        <f t="shared" si="18"/>
        <v>0.06</v>
      </c>
      <c r="G129" s="795">
        <f t="shared" si="14"/>
        <v>0</v>
      </c>
      <c r="H129" s="795">
        <f t="shared" si="19"/>
        <v>0</v>
      </c>
      <c r="I129" s="795">
        <f t="shared" si="20"/>
        <v>0</v>
      </c>
      <c r="J129" s="795">
        <f t="shared" si="21"/>
        <v>0</v>
      </c>
      <c r="K129" s="108">
        <f t="shared" si="15"/>
        <v>2023</v>
      </c>
      <c r="L129" s="92" t="str">
        <f t="shared" si="16"/>
        <v/>
      </c>
    </row>
    <row r="130" spans="1:12" ht="12.75" customHeight="1">
      <c r="A130" s="90">
        <f>IF(B130&lt;&gt;"",MAX(A$28:A129)+1,IF(ISNA(HLOOKUP(DATE(YEAR($C$21),MONTH(C130),DAY(C130)),$C$21:$N$21,1,0)),"",MAX(A$28:A129)+1))</f>
        <v>34</v>
      </c>
      <c r="B130" s="91">
        <f>IF(C130&lt;$K$16,"",IF(ISNA(HLOOKUP(DATE(YEAR($C$20),MONTH($C130),DAY($C130)),$C$20:$N$20,1,0)),"",MAX(B$28:B129)+1))</f>
        <v>22</v>
      </c>
      <c r="C130" s="106">
        <f t="shared" si="22"/>
        <v>45107</v>
      </c>
      <c r="D130" s="795">
        <f t="shared" si="17"/>
        <v>38218.29503932911</v>
      </c>
      <c r="E130" s="795">
        <f>IF($A130="","",IF($A130=1,D$29*$F130*($C130-$C$28)/$K$17,
(D130*ROUND(($C130-VLOOKUP($A130-1,$A$28:$C130,3,0))/30,0)/12*$F130)
))</f>
        <v>573.27442558993664</v>
      </c>
      <c r="F130" s="107">
        <f t="shared" si="18"/>
        <v>0.06</v>
      </c>
      <c r="G130" s="795">
        <f t="shared" si="14"/>
        <v>591.15218603497203</v>
      </c>
      <c r="H130" s="795">
        <f t="shared" si="19"/>
        <v>717.64705882352939</v>
      </c>
      <c r="I130" s="795">
        <f t="shared" si="20"/>
        <v>591.15218603497203</v>
      </c>
      <c r="J130" s="795">
        <f t="shared" si="21"/>
        <v>1164.4266116249087</v>
      </c>
      <c r="K130" s="108">
        <f t="shared" si="15"/>
        <v>2023</v>
      </c>
      <c r="L130" s="92" t="str">
        <f t="shared" si="16"/>
        <v/>
      </c>
    </row>
    <row r="131" spans="1:12" ht="12.75" customHeight="1">
      <c r="A131" s="90" t="str">
        <f>IF(B131&lt;&gt;"",MAX(A$28:A130)+1,IF(ISNA(HLOOKUP(DATE(YEAR($C$21),MONTH(C131),DAY(C131)),$C$21:$N$21,1,0)),"",MAX(A$28:A130)+1))</f>
        <v/>
      </c>
      <c r="B131" s="91" t="str">
        <f>IF(C131&lt;$K$16,"",IF(ISNA(HLOOKUP(DATE(YEAR($C$20),MONTH($C131),DAY($C131)),$C$20:$N$20,1,0)),"",MAX(B$28:B130)+1))</f>
        <v/>
      </c>
      <c r="C131" s="106">
        <f t="shared" si="22"/>
        <v>45138</v>
      </c>
      <c r="D131" s="795">
        <f t="shared" si="17"/>
        <v>37627.142853294135</v>
      </c>
      <c r="E131" s="795" t="str">
        <f>IF($A131="","",IF($A131=1,D$29*$F131*($C131-$C$28)/$K$17,
(D131*ROUND(($C131-VLOOKUP($A131-1,$A$28:$C131,3,0))/30,0)/12*$F131)
))</f>
        <v/>
      </c>
      <c r="F131" s="107">
        <f t="shared" si="18"/>
        <v>0.06</v>
      </c>
      <c r="G131" s="795">
        <f t="shared" si="14"/>
        <v>0</v>
      </c>
      <c r="H131" s="795">
        <f t="shared" si="19"/>
        <v>0</v>
      </c>
      <c r="I131" s="795">
        <f t="shared" si="20"/>
        <v>0</v>
      </c>
      <c r="J131" s="795">
        <f t="shared" si="21"/>
        <v>0</v>
      </c>
      <c r="K131" s="108">
        <f t="shared" si="15"/>
        <v>2023</v>
      </c>
      <c r="L131" s="92" t="str">
        <f t="shared" si="16"/>
        <v/>
      </c>
    </row>
    <row r="132" spans="1:12" ht="12.75" customHeight="1">
      <c r="A132" s="90" t="str">
        <f>IF(B132&lt;&gt;"",MAX(A$28:A131)+1,IF(ISNA(HLOOKUP(DATE(YEAR($C$21),MONTH(C132),DAY(C132)),$C$21:$N$21,1,0)),"",MAX(A$28:A131)+1))</f>
        <v/>
      </c>
      <c r="B132" s="91" t="str">
        <f>IF(C132&lt;$K$16,"",IF(ISNA(HLOOKUP(DATE(YEAR($C$20),MONTH($C132),DAY($C132)),$C$20:$N$20,1,0)),"",MAX(B$28:B131)+1))</f>
        <v/>
      </c>
      <c r="C132" s="106">
        <f t="shared" si="22"/>
        <v>45169</v>
      </c>
      <c r="D132" s="795">
        <f t="shared" si="17"/>
        <v>37627.142853294135</v>
      </c>
      <c r="E132" s="795" t="str">
        <f>IF($A132="","",IF($A132=1,D$29*$F132*($C132-$C$28)/$K$17,
(D132*ROUND(($C132-VLOOKUP($A132-1,$A$28:$C132,3,0))/30,0)/12*$F132)
))</f>
        <v/>
      </c>
      <c r="F132" s="107">
        <f t="shared" si="18"/>
        <v>0.06</v>
      </c>
      <c r="G132" s="795">
        <f t="shared" si="14"/>
        <v>0</v>
      </c>
      <c r="H132" s="795">
        <f t="shared" si="19"/>
        <v>0</v>
      </c>
      <c r="I132" s="795">
        <f t="shared" si="20"/>
        <v>0</v>
      </c>
      <c r="J132" s="795">
        <f t="shared" si="21"/>
        <v>0</v>
      </c>
      <c r="K132" s="108">
        <f t="shared" si="15"/>
        <v>2023</v>
      </c>
      <c r="L132" s="92" t="str">
        <f t="shared" si="16"/>
        <v/>
      </c>
    </row>
    <row r="133" spans="1:12" ht="12.75" customHeight="1">
      <c r="A133" s="90">
        <f>IF(B133&lt;&gt;"",MAX(A$28:A132)+1,IF(ISNA(HLOOKUP(DATE(YEAR($C$21),MONTH(C133),DAY(C133)),$C$21:$N$21,1,0)),"",MAX(A$28:A132)+1))</f>
        <v>35</v>
      </c>
      <c r="B133" s="91">
        <f>IF(C133&lt;$K$16,"",IF(ISNA(HLOOKUP(DATE(YEAR($C$20),MONTH($C133),DAY($C133)),$C$20:$N$20,1,0)),"",MAX(B$28:B132)+1))</f>
        <v>23</v>
      </c>
      <c r="C133" s="106">
        <f t="shared" si="22"/>
        <v>45199</v>
      </c>
      <c r="D133" s="795">
        <f t="shared" si="17"/>
        <v>37627.142853294135</v>
      </c>
      <c r="E133" s="795">
        <f>IF($A133="","",IF($A133=1,D$29*$F133*($C133-$C$28)/$K$17,
(D133*ROUND(($C133-VLOOKUP($A133-1,$A$28:$C133,3,0))/30,0)/12*$F133)
))</f>
        <v>564.40714279941199</v>
      </c>
      <c r="F133" s="107">
        <f t="shared" si="18"/>
        <v>0.06</v>
      </c>
      <c r="G133" s="795">
        <f t="shared" si="14"/>
        <v>600.01946882549669</v>
      </c>
      <c r="H133" s="795">
        <f t="shared" si="19"/>
        <v>717.64705882352939</v>
      </c>
      <c r="I133" s="795">
        <f t="shared" si="20"/>
        <v>600.01946882549669</v>
      </c>
      <c r="J133" s="795">
        <f t="shared" si="21"/>
        <v>1164.4266116249087</v>
      </c>
      <c r="K133" s="108">
        <f t="shared" si="15"/>
        <v>2023</v>
      </c>
      <c r="L133" s="92" t="str">
        <f t="shared" si="16"/>
        <v/>
      </c>
    </row>
    <row r="134" spans="1:12" ht="12.75" customHeight="1">
      <c r="A134" s="90" t="str">
        <f>IF(B134&lt;&gt;"",MAX(A$28:A133)+1,IF(ISNA(HLOOKUP(DATE(YEAR($C$21),MONTH(C134),DAY(C134)),$C$21:$N$21,1,0)),"",MAX(A$28:A133)+1))</f>
        <v/>
      </c>
      <c r="B134" s="91" t="str">
        <f>IF(C134&lt;$K$16,"",IF(ISNA(HLOOKUP(DATE(YEAR($C$20),MONTH($C134),DAY($C134)),$C$20:$N$20,1,0)),"",MAX(B$28:B133)+1))</f>
        <v/>
      </c>
      <c r="C134" s="106">
        <f t="shared" si="22"/>
        <v>45230</v>
      </c>
      <c r="D134" s="795">
        <f t="shared" si="17"/>
        <v>37027.123384468636</v>
      </c>
      <c r="E134" s="795" t="str">
        <f>IF($A134="","",IF($A134=1,D$29*$F134*($C134-$C$28)/$K$17,
(D134*ROUND(($C134-VLOOKUP($A134-1,$A$28:$C134,3,0))/30,0)/12*$F134)
))</f>
        <v/>
      </c>
      <c r="F134" s="107">
        <f t="shared" si="18"/>
        <v>0.06</v>
      </c>
      <c r="G134" s="795">
        <f t="shared" si="14"/>
        <v>0</v>
      </c>
      <c r="H134" s="795">
        <f t="shared" si="19"/>
        <v>0</v>
      </c>
      <c r="I134" s="795">
        <f t="shared" si="20"/>
        <v>0</v>
      </c>
      <c r="J134" s="795">
        <f t="shared" si="21"/>
        <v>0</v>
      </c>
      <c r="K134" s="108">
        <f t="shared" si="15"/>
        <v>2023</v>
      </c>
      <c r="L134" s="92" t="str">
        <f t="shared" si="16"/>
        <v/>
      </c>
    </row>
    <row r="135" spans="1:12" ht="12.75" customHeight="1">
      <c r="A135" s="90" t="str">
        <f>IF(B135&lt;&gt;"",MAX(A$28:A134)+1,IF(ISNA(HLOOKUP(DATE(YEAR($C$21),MONTH(C135),DAY(C135)),$C$21:$N$21,1,0)),"",MAX(A$28:A134)+1))</f>
        <v/>
      </c>
      <c r="B135" s="91" t="str">
        <f>IF(C135&lt;$K$16,"",IF(ISNA(HLOOKUP(DATE(YEAR($C$20),MONTH($C135),DAY($C135)),$C$20:$N$20,1,0)),"",MAX(B$28:B134)+1))</f>
        <v/>
      </c>
      <c r="C135" s="106">
        <f t="shared" si="22"/>
        <v>45260</v>
      </c>
      <c r="D135" s="795">
        <f t="shared" si="17"/>
        <v>37027.123384468636</v>
      </c>
      <c r="E135" s="795" t="str">
        <f>IF($A135="","",IF($A135=1,D$29*$F135*($C135-$C$28)/$K$17,
(D135*ROUND(($C135-VLOOKUP($A135-1,$A$28:$C135,3,0))/30,0)/12*$F135)
))</f>
        <v/>
      </c>
      <c r="F135" s="107">
        <f t="shared" si="18"/>
        <v>0.06</v>
      </c>
      <c r="G135" s="795">
        <f t="shared" si="14"/>
        <v>0</v>
      </c>
      <c r="H135" s="795">
        <f t="shared" si="19"/>
        <v>0</v>
      </c>
      <c r="I135" s="795">
        <f t="shared" si="20"/>
        <v>0</v>
      </c>
      <c r="J135" s="795">
        <f t="shared" si="21"/>
        <v>0</v>
      </c>
      <c r="K135" s="108">
        <f t="shared" si="15"/>
        <v>2023</v>
      </c>
      <c r="L135" s="92" t="str">
        <f t="shared" si="16"/>
        <v/>
      </c>
    </row>
    <row r="136" spans="1:12" ht="12.75" customHeight="1">
      <c r="A136" s="90">
        <f>IF(B136&lt;&gt;"",MAX(A$28:A135)+1,IF(ISNA(HLOOKUP(DATE(YEAR($C$21),MONTH(C136),DAY(C136)),$C$21:$N$21,1,0)),"",MAX(A$28:A135)+1))</f>
        <v>36</v>
      </c>
      <c r="B136" s="91">
        <f>IF(C136&lt;$K$16,"",IF(ISNA(HLOOKUP(DATE(YEAR($C$20),MONTH($C136),DAY($C136)),$C$20:$N$20,1,0)),"",MAX(B$28:B135)+1))</f>
        <v>24</v>
      </c>
      <c r="C136" s="106">
        <f t="shared" si="22"/>
        <v>45291</v>
      </c>
      <c r="D136" s="795">
        <f t="shared" si="17"/>
        <v>37027.123384468636</v>
      </c>
      <c r="E136" s="795">
        <f>IF($A136="","",IF($A136=1,D$29*$F136*($C136-$C$28)/$K$17,
(D136*ROUND(($C136-VLOOKUP($A136-1,$A$28:$C136,3,0))/30,0)/12*$F136)
))</f>
        <v>555.40685076702948</v>
      </c>
      <c r="F136" s="107">
        <f t="shared" si="18"/>
        <v>0.06</v>
      </c>
      <c r="G136" s="795">
        <f t="shared" si="14"/>
        <v>609.01976085787919</v>
      </c>
      <c r="H136" s="795">
        <f t="shared" si="19"/>
        <v>717.64705882352939</v>
      </c>
      <c r="I136" s="795">
        <f t="shared" si="20"/>
        <v>609.01976085787919</v>
      </c>
      <c r="J136" s="795">
        <f t="shared" si="21"/>
        <v>1164.4266116249087</v>
      </c>
      <c r="K136" s="108">
        <f t="shared" si="15"/>
        <v>2023</v>
      </c>
      <c r="L136" s="92" t="str">
        <f t="shared" si="16"/>
        <v/>
      </c>
    </row>
    <row r="137" spans="1:12" ht="12.75" customHeight="1">
      <c r="A137" s="90" t="str">
        <f>IF(B137&lt;&gt;"",MAX(A$28:A136)+1,IF(ISNA(HLOOKUP(DATE(YEAR($C$21),MONTH(C137),DAY(C137)),$C$21:$N$21,1,0)),"",MAX(A$28:A136)+1))</f>
        <v/>
      </c>
      <c r="B137" s="91" t="str">
        <f>IF(C137&lt;$K$16,"",IF(ISNA(HLOOKUP(DATE(YEAR($C$20),MONTH($C137),DAY($C137)),$C$20:$N$20,1,0)),"",MAX(B$28:B136)+1))</f>
        <v/>
      </c>
      <c r="C137" s="106">
        <f t="shared" si="22"/>
        <v>45322</v>
      </c>
      <c r="D137" s="795">
        <f t="shared" si="17"/>
        <v>36418.103623610754</v>
      </c>
      <c r="E137" s="795" t="str">
        <f>IF($A137="","",IF($A137=1,D$29*$F137*($C137-$C$28)/$K$17,
(D137*ROUND(($C137-VLOOKUP($A137-1,$A$28:$C137,3,0))/30,0)/12*$F137)
))</f>
        <v/>
      </c>
      <c r="F137" s="107">
        <f t="shared" si="18"/>
        <v>0.06</v>
      </c>
      <c r="G137" s="795">
        <f t="shared" si="14"/>
        <v>0</v>
      </c>
      <c r="H137" s="795">
        <f t="shared" si="19"/>
        <v>0</v>
      </c>
      <c r="I137" s="795">
        <f t="shared" si="20"/>
        <v>0</v>
      </c>
      <c r="J137" s="795">
        <f t="shared" si="21"/>
        <v>0</v>
      </c>
      <c r="K137" s="108">
        <f t="shared" si="15"/>
        <v>2024</v>
      </c>
      <c r="L137" s="92" t="str">
        <f t="shared" si="16"/>
        <v/>
      </c>
    </row>
    <row r="138" spans="1:12" ht="12.75" customHeight="1">
      <c r="A138" s="90" t="str">
        <f>IF(B138&lt;&gt;"",MAX(A$28:A137)+1,IF(ISNA(HLOOKUP(DATE(YEAR($C$21),MONTH(C138),DAY(C138)),$C$21:$N$21,1,0)),"",MAX(A$28:A137)+1))</f>
        <v/>
      </c>
      <c r="B138" s="91" t="str">
        <f>IF(C138&lt;$K$16,"",IF(ISNA(HLOOKUP(DATE(YEAR($C$20),MONTH($C138),DAY($C138)),$C$20:$N$20,1,0)),"",MAX(B$28:B137)+1))</f>
        <v/>
      </c>
      <c r="C138" s="106">
        <f t="shared" si="22"/>
        <v>45351</v>
      </c>
      <c r="D138" s="795">
        <f t="shared" si="17"/>
        <v>36418.103623610754</v>
      </c>
      <c r="E138" s="795" t="str">
        <f>IF($A138="","",IF($A138=1,D$29*$F138*($C138-$C$28)/$K$17,
(D138*ROUND(($C138-VLOOKUP($A138-1,$A$28:$C138,3,0))/30,0)/12*$F138)
))</f>
        <v/>
      </c>
      <c r="F138" s="107">
        <f t="shared" si="18"/>
        <v>0.06</v>
      </c>
      <c r="G138" s="795">
        <f t="shared" si="14"/>
        <v>0</v>
      </c>
      <c r="H138" s="795">
        <f t="shared" si="19"/>
        <v>0</v>
      </c>
      <c r="I138" s="795">
        <f t="shared" si="20"/>
        <v>0</v>
      </c>
      <c r="J138" s="795">
        <f t="shared" si="21"/>
        <v>0</v>
      </c>
      <c r="K138" s="108">
        <f t="shared" si="15"/>
        <v>2024</v>
      </c>
      <c r="L138" s="92" t="str">
        <f t="shared" si="16"/>
        <v/>
      </c>
    </row>
    <row r="139" spans="1:12" ht="12.75" customHeight="1">
      <c r="A139" s="90">
        <f>IF(B139&lt;&gt;"",MAX(A$28:A138)+1,IF(ISNA(HLOOKUP(DATE(YEAR($C$21),MONTH(C139),DAY(C139)),$C$21:$N$21,1,0)),"",MAX(A$28:A138)+1))</f>
        <v>37</v>
      </c>
      <c r="B139" s="91">
        <f>IF(C139&lt;$K$16,"",IF(ISNA(HLOOKUP(DATE(YEAR($C$20),MONTH($C139),DAY($C139)),$C$20:$N$20,1,0)),"",MAX(B$28:B138)+1))</f>
        <v>25</v>
      </c>
      <c r="C139" s="106">
        <f t="shared" si="22"/>
        <v>45382</v>
      </c>
      <c r="D139" s="795">
        <f t="shared" si="17"/>
        <v>36418.103623610754</v>
      </c>
      <c r="E139" s="795">
        <f>IF($A139="","",IF($A139=1,D$29*$F139*($C139-$C$28)/$K$17,
(D139*ROUND(($C139-VLOOKUP($A139-1,$A$28:$C139,3,0))/30,0)/12*$F139)
))</f>
        <v>546.27155435416125</v>
      </c>
      <c r="F139" s="107">
        <f t="shared" si="18"/>
        <v>0.06</v>
      </c>
      <c r="G139" s="795">
        <f t="shared" si="14"/>
        <v>618.15505727074742</v>
      </c>
      <c r="H139" s="795">
        <f t="shared" si="19"/>
        <v>717.64705882352939</v>
      </c>
      <c r="I139" s="795">
        <f t="shared" si="20"/>
        <v>618.15505727074742</v>
      </c>
      <c r="J139" s="795">
        <f t="shared" si="21"/>
        <v>1164.4266116249087</v>
      </c>
      <c r="K139" s="108">
        <f t="shared" si="15"/>
        <v>2024</v>
      </c>
      <c r="L139" s="92" t="str">
        <f t="shared" si="16"/>
        <v/>
      </c>
    </row>
    <row r="140" spans="1:12" ht="12.75" customHeight="1">
      <c r="A140" s="90" t="str">
        <f>IF(B140&lt;&gt;"",MAX(A$28:A139)+1,IF(ISNA(HLOOKUP(DATE(YEAR($C$21),MONTH(C140),DAY(C140)),$C$21:$N$21,1,0)),"",MAX(A$28:A139)+1))</f>
        <v/>
      </c>
      <c r="B140" s="91" t="str">
        <f>IF(C140&lt;$K$16,"",IF(ISNA(HLOOKUP(DATE(YEAR($C$20),MONTH($C140),DAY($C140)),$C$20:$N$20,1,0)),"",MAX(B$28:B139)+1))</f>
        <v/>
      </c>
      <c r="C140" s="106">
        <f t="shared" si="22"/>
        <v>45412</v>
      </c>
      <c r="D140" s="795">
        <f t="shared" si="17"/>
        <v>35799.948566340005</v>
      </c>
      <c r="E140" s="795" t="str">
        <f>IF($A140="","",IF($A140=1,D$29*$F140*($C140-$C$28)/$K$17,
(D140*ROUND(($C140-VLOOKUP($A140-1,$A$28:$C140,3,0))/30,0)/12*$F140)
))</f>
        <v/>
      </c>
      <c r="F140" s="107">
        <f t="shared" si="18"/>
        <v>0.06</v>
      </c>
      <c r="G140" s="795">
        <f t="shared" si="14"/>
        <v>0</v>
      </c>
      <c r="H140" s="795">
        <f t="shared" si="19"/>
        <v>0</v>
      </c>
      <c r="I140" s="795">
        <f t="shared" si="20"/>
        <v>0</v>
      </c>
      <c r="J140" s="795">
        <f t="shared" si="21"/>
        <v>0</v>
      </c>
      <c r="K140" s="108">
        <f t="shared" si="15"/>
        <v>2024</v>
      </c>
      <c r="L140" s="92" t="str">
        <f t="shared" si="16"/>
        <v/>
      </c>
    </row>
    <row r="141" spans="1:12" ht="12.75" customHeight="1">
      <c r="A141" s="90" t="str">
        <f>IF(B141&lt;&gt;"",MAX(A$28:A140)+1,IF(ISNA(HLOOKUP(DATE(YEAR($C$21),MONTH(C141),DAY(C141)),$C$21:$N$21,1,0)),"",MAX(A$28:A140)+1))</f>
        <v/>
      </c>
      <c r="B141" s="91" t="str">
        <f>IF(C141&lt;$K$16,"",IF(ISNA(HLOOKUP(DATE(YEAR($C$20),MONTH($C141),DAY($C141)),$C$20:$N$20,1,0)),"",MAX(B$28:B140)+1))</f>
        <v/>
      </c>
      <c r="C141" s="106">
        <f t="shared" si="22"/>
        <v>45443</v>
      </c>
      <c r="D141" s="795">
        <f t="shared" si="17"/>
        <v>35799.948566340005</v>
      </c>
      <c r="E141" s="795" t="str">
        <f>IF($A141="","",IF($A141=1,D$29*$F141*($C141-$C$28)/$K$17,
(D141*ROUND(($C141-VLOOKUP($A141-1,$A$28:$C141,3,0))/30,0)/12*$F141)
))</f>
        <v/>
      </c>
      <c r="F141" s="107">
        <f t="shared" si="18"/>
        <v>0.06</v>
      </c>
      <c r="G141" s="795">
        <f t="shared" si="14"/>
        <v>0</v>
      </c>
      <c r="H141" s="795">
        <f t="shared" si="19"/>
        <v>0</v>
      </c>
      <c r="I141" s="795">
        <f t="shared" si="20"/>
        <v>0</v>
      </c>
      <c r="J141" s="795">
        <f t="shared" si="21"/>
        <v>0</v>
      </c>
      <c r="K141" s="108">
        <f t="shared" si="15"/>
        <v>2024</v>
      </c>
      <c r="L141" s="92" t="str">
        <f t="shared" si="16"/>
        <v/>
      </c>
    </row>
    <row r="142" spans="1:12" ht="12.75" customHeight="1">
      <c r="A142" s="90">
        <f>IF(B142&lt;&gt;"",MAX(A$28:A141)+1,IF(ISNA(HLOOKUP(DATE(YEAR($C$21),MONTH(C142),DAY(C142)),$C$21:$N$21,1,0)),"",MAX(A$28:A141)+1))</f>
        <v>38</v>
      </c>
      <c r="B142" s="91">
        <f>IF(C142&lt;$K$16,"",IF(ISNA(HLOOKUP(DATE(YEAR($C$20),MONTH($C142),DAY($C142)),$C$20:$N$20,1,0)),"",MAX(B$28:B141)+1))</f>
        <v>26</v>
      </c>
      <c r="C142" s="106">
        <f t="shared" si="22"/>
        <v>45473</v>
      </c>
      <c r="D142" s="795">
        <f t="shared" si="17"/>
        <v>35799.948566340005</v>
      </c>
      <c r="E142" s="795">
        <f>IF($A142="","",IF($A142=1,D$29*$F142*($C142-$C$28)/$K$17,
(D142*ROUND(($C142-VLOOKUP($A142-1,$A$28:$C142,3,0))/30,0)/12*$F142)
))</f>
        <v>536.99922849510006</v>
      </c>
      <c r="F142" s="107">
        <f t="shared" si="18"/>
        <v>0.06</v>
      </c>
      <c r="G142" s="795">
        <f t="shared" si="14"/>
        <v>627.42738312980862</v>
      </c>
      <c r="H142" s="795">
        <f t="shared" si="19"/>
        <v>717.64705882352939</v>
      </c>
      <c r="I142" s="795">
        <f t="shared" si="20"/>
        <v>627.42738312980862</v>
      </c>
      <c r="J142" s="795">
        <f t="shared" si="21"/>
        <v>1164.4266116249087</v>
      </c>
      <c r="K142" s="108">
        <f t="shared" si="15"/>
        <v>2024</v>
      </c>
      <c r="L142" s="92" t="str">
        <f t="shared" si="16"/>
        <v/>
      </c>
    </row>
    <row r="143" spans="1:12" ht="12.75" customHeight="1">
      <c r="A143" s="90" t="str">
        <f>IF(B143&lt;&gt;"",MAX(A$28:A142)+1,IF(ISNA(HLOOKUP(DATE(YEAR($C$21),MONTH(C143),DAY(C143)),$C$21:$N$21,1,0)),"",MAX(A$28:A142)+1))</f>
        <v/>
      </c>
      <c r="B143" s="91" t="str">
        <f>IF(C143&lt;$K$16,"",IF(ISNA(HLOOKUP(DATE(YEAR($C$20),MONTH($C143),DAY($C143)),$C$20:$N$20,1,0)),"",MAX(B$28:B142)+1))</f>
        <v/>
      </c>
      <c r="C143" s="106">
        <f t="shared" si="22"/>
        <v>45504</v>
      </c>
      <c r="D143" s="795">
        <f t="shared" si="17"/>
        <v>35172.5211832102</v>
      </c>
      <c r="E143" s="795" t="str">
        <f>IF($A143="","",IF($A143=1,D$29*$F143*($C143-$C$28)/$K$17,
(D143*ROUND(($C143-VLOOKUP($A143-1,$A$28:$C143,3,0))/30,0)/12*$F143)
))</f>
        <v/>
      </c>
      <c r="F143" s="107">
        <f t="shared" si="18"/>
        <v>0.06</v>
      </c>
      <c r="G143" s="795">
        <f t="shared" si="14"/>
        <v>0</v>
      </c>
      <c r="H143" s="795">
        <f t="shared" si="19"/>
        <v>0</v>
      </c>
      <c r="I143" s="795">
        <f t="shared" si="20"/>
        <v>0</v>
      </c>
      <c r="J143" s="795">
        <f t="shared" si="21"/>
        <v>0</v>
      </c>
      <c r="K143" s="108">
        <f t="shared" si="15"/>
        <v>2024</v>
      </c>
      <c r="L143" s="92" t="str">
        <f t="shared" si="16"/>
        <v/>
      </c>
    </row>
    <row r="144" spans="1:12" ht="12.75" customHeight="1">
      <c r="A144" s="90" t="str">
        <f>IF(B144&lt;&gt;"",MAX(A$28:A143)+1,IF(ISNA(HLOOKUP(DATE(YEAR($C$21),MONTH(C144),DAY(C144)),$C$21:$N$21,1,0)),"",MAX(A$28:A143)+1))</f>
        <v/>
      </c>
      <c r="B144" s="91" t="str">
        <f>IF(C144&lt;$K$16,"",IF(ISNA(HLOOKUP(DATE(YEAR($C$20),MONTH($C144),DAY($C144)),$C$20:$N$20,1,0)),"",MAX(B$28:B143)+1))</f>
        <v/>
      </c>
      <c r="C144" s="106">
        <f t="shared" si="22"/>
        <v>45535</v>
      </c>
      <c r="D144" s="795">
        <f t="shared" si="17"/>
        <v>35172.5211832102</v>
      </c>
      <c r="E144" s="795" t="str">
        <f>IF($A144="","",IF($A144=1,D$29*$F144*($C144-$C$28)/$K$17,
(D144*ROUND(($C144-VLOOKUP($A144-1,$A$28:$C144,3,0))/30,0)/12*$F144)
))</f>
        <v/>
      </c>
      <c r="F144" s="107">
        <f t="shared" si="18"/>
        <v>0.06</v>
      </c>
      <c r="G144" s="795">
        <f t="shared" si="14"/>
        <v>0</v>
      </c>
      <c r="H144" s="795">
        <f t="shared" si="19"/>
        <v>0</v>
      </c>
      <c r="I144" s="795">
        <f t="shared" si="20"/>
        <v>0</v>
      </c>
      <c r="J144" s="795">
        <f t="shared" si="21"/>
        <v>0</v>
      </c>
      <c r="K144" s="108">
        <f t="shared" si="15"/>
        <v>2024</v>
      </c>
      <c r="L144" s="92" t="str">
        <f t="shared" si="16"/>
        <v/>
      </c>
    </row>
    <row r="145" spans="1:12" ht="12.75" customHeight="1">
      <c r="A145" s="90">
        <f>IF(B145&lt;&gt;"",MAX(A$28:A144)+1,IF(ISNA(HLOOKUP(DATE(YEAR($C$21),MONTH(C145),DAY(C145)),$C$21:$N$21,1,0)),"",MAX(A$28:A144)+1))</f>
        <v>39</v>
      </c>
      <c r="B145" s="91">
        <f>IF(C145&lt;$K$16,"",IF(ISNA(HLOOKUP(DATE(YEAR($C$20),MONTH($C145),DAY($C145)),$C$20:$N$20,1,0)),"",MAX(B$28:B144)+1))</f>
        <v>27</v>
      </c>
      <c r="C145" s="106">
        <f t="shared" si="22"/>
        <v>45565</v>
      </c>
      <c r="D145" s="795">
        <f t="shared" si="17"/>
        <v>35172.5211832102</v>
      </c>
      <c r="E145" s="795">
        <f>IF($A145="","",IF($A145=1,D$29*$F145*($C145-$C$28)/$K$17,
(D145*ROUND(($C145-VLOOKUP($A145-1,$A$28:$C145,3,0))/30,0)/12*$F145)
))</f>
        <v>527.58781774815293</v>
      </c>
      <c r="F145" s="107">
        <f t="shared" si="18"/>
        <v>0.06</v>
      </c>
      <c r="G145" s="795">
        <f t="shared" si="14"/>
        <v>636.83879387675574</v>
      </c>
      <c r="H145" s="795">
        <f t="shared" si="19"/>
        <v>717.64705882352939</v>
      </c>
      <c r="I145" s="795">
        <f t="shared" si="20"/>
        <v>636.83879387675574</v>
      </c>
      <c r="J145" s="795">
        <f t="shared" si="21"/>
        <v>1164.4266116249087</v>
      </c>
      <c r="K145" s="108">
        <f t="shared" si="15"/>
        <v>2024</v>
      </c>
      <c r="L145" s="92" t="str">
        <f t="shared" si="16"/>
        <v/>
      </c>
    </row>
    <row r="146" spans="1:12" ht="12.75" customHeight="1">
      <c r="A146" s="90" t="str">
        <f>IF(B146&lt;&gt;"",MAX(A$28:A145)+1,IF(ISNA(HLOOKUP(DATE(YEAR($C$21),MONTH(C146),DAY(C146)),$C$21:$N$21,1,0)),"",MAX(A$28:A145)+1))</f>
        <v/>
      </c>
      <c r="B146" s="91" t="str">
        <f>IF(C146&lt;$K$16,"",IF(ISNA(HLOOKUP(DATE(YEAR($C$20),MONTH($C146),DAY($C146)),$C$20:$N$20,1,0)),"",MAX(B$28:B145)+1))</f>
        <v/>
      </c>
      <c r="C146" s="106">
        <f t="shared" si="22"/>
        <v>45596</v>
      </c>
      <c r="D146" s="795">
        <f t="shared" si="17"/>
        <v>34535.682389333444</v>
      </c>
      <c r="E146" s="795" t="str">
        <f>IF($A146="","",IF($A146=1,D$29*$F146*($C146-$C$28)/$K$17,
(D146*ROUND(($C146-VLOOKUP($A146-1,$A$28:$C146,3,0))/30,0)/12*$F146)
))</f>
        <v/>
      </c>
      <c r="F146" s="107">
        <f t="shared" si="18"/>
        <v>0.06</v>
      </c>
      <c r="G146" s="795">
        <f t="shared" si="14"/>
        <v>0</v>
      </c>
      <c r="H146" s="795">
        <f t="shared" si="19"/>
        <v>0</v>
      </c>
      <c r="I146" s="795">
        <f t="shared" si="20"/>
        <v>0</v>
      </c>
      <c r="J146" s="795">
        <f t="shared" si="21"/>
        <v>0</v>
      </c>
      <c r="K146" s="108">
        <f t="shared" si="15"/>
        <v>2024</v>
      </c>
      <c r="L146" s="92" t="str">
        <f t="shared" si="16"/>
        <v/>
      </c>
    </row>
    <row r="147" spans="1:12" ht="12.75" customHeight="1">
      <c r="A147" s="90" t="str">
        <f>IF(B147&lt;&gt;"",MAX(A$28:A146)+1,IF(ISNA(HLOOKUP(DATE(YEAR($C$21),MONTH(C147),DAY(C147)),$C$21:$N$21,1,0)),"",MAX(A$28:A146)+1))</f>
        <v/>
      </c>
      <c r="B147" s="91" t="str">
        <f>IF(C147&lt;$K$16,"",IF(ISNA(HLOOKUP(DATE(YEAR($C$20),MONTH($C147),DAY($C147)),$C$20:$N$20,1,0)),"",MAX(B$28:B146)+1))</f>
        <v/>
      </c>
      <c r="C147" s="106">
        <f t="shared" si="22"/>
        <v>45626</v>
      </c>
      <c r="D147" s="795">
        <f t="shared" si="17"/>
        <v>34535.682389333444</v>
      </c>
      <c r="E147" s="795" t="str">
        <f>IF($A147="","",IF($A147=1,D$29*$F147*($C147-$C$28)/$K$17,
(D147*ROUND(($C147-VLOOKUP($A147-1,$A$28:$C147,3,0))/30,0)/12*$F147)
))</f>
        <v/>
      </c>
      <c r="F147" s="107">
        <f t="shared" si="18"/>
        <v>0.06</v>
      </c>
      <c r="G147" s="795">
        <f t="shared" si="14"/>
        <v>0</v>
      </c>
      <c r="H147" s="795">
        <f t="shared" si="19"/>
        <v>0</v>
      </c>
      <c r="I147" s="795">
        <f t="shared" si="20"/>
        <v>0</v>
      </c>
      <c r="J147" s="795">
        <f t="shared" si="21"/>
        <v>0</v>
      </c>
      <c r="K147" s="108">
        <f t="shared" si="15"/>
        <v>2024</v>
      </c>
      <c r="L147" s="92" t="str">
        <f t="shared" si="16"/>
        <v/>
      </c>
    </row>
    <row r="148" spans="1:12" ht="12.75" customHeight="1">
      <c r="A148" s="90">
        <f>IF(B148&lt;&gt;"",MAX(A$28:A147)+1,IF(ISNA(HLOOKUP(DATE(YEAR($C$21),MONTH(C148),DAY(C148)),$C$21:$N$21,1,0)),"",MAX(A$28:A147)+1))</f>
        <v>40</v>
      </c>
      <c r="B148" s="91">
        <f>IF(C148&lt;$K$16,"",IF(ISNA(HLOOKUP(DATE(YEAR($C$20),MONTH($C148),DAY($C148)),$C$20:$N$20,1,0)),"",MAX(B$28:B147)+1))</f>
        <v>28</v>
      </c>
      <c r="C148" s="106">
        <f t="shared" si="22"/>
        <v>45657</v>
      </c>
      <c r="D148" s="795">
        <f t="shared" si="17"/>
        <v>34535.682389333444</v>
      </c>
      <c r="E148" s="795">
        <f>IF($A148="","",IF($A148=1,D$29*$F148*($C148-$C$28)/$K$17,
(D148*ROUND(($C148-VLOOKUP($A148-1,$A$28:$C148,3,0))/30,0)/12*$F148)
))</f>
        <v>518.03523584000163</v>
      </c>
      <c r="F148" s="107">
        <f t="shared" si="18"/>
        <v>0.06</v>
      </c>
      <c r="G148" s="795">
        <f t="shared" si="14"/>
        <v>646.39137578490704</v>
      </c>
      <c r="H148" s="795">
        <f t="shared" si="19"/>
        <v>717.64705882352939</v>
      </c>
      <c r="I148" s="795">
        <f t="shared" si="20"/>
        <v>646.39137578490704</v>
      </c>
      <c r="J148" s="795">
        <f t="shared" si="21"/>
        <v>1164.4266116249087</v>
      </c>
      <c r="K148" s="108">
        <f t="shared" si="15"/>
        <v>2024</v>
      </c>
      <c r="L148" s="92" t="str">
        <f t="shared" si="16"/>
        <v/>
      </c>
    </row>
    <row r="149" spans="1:12" ht="12.75" customHeight="1">
      <c r="A149" s="90" t="str">
        <f>IF(B149&lt;&gt;"",MAX(A$28:A148)+1,IF(ISNA(HLOOKUP(DATE(YEAR($C$21),MONTH(C149),DAY(C149)),$C$21:$N$21,1,0)),"",MAX(A$28:A148)+1))</f>
        <v/>
      </c>
      <c r="B149" s="91" t="str">
        <f>IF(C149&lt;$K$16,"",IF(ISNA(HLOOKUP(DATE(YEAR($C$20),MONTH($C149),DAY($C149)),$C$20:$N$20,1,0)),"",MAX(B$28:B148)+1))</f>
        <v/>
      </c>
      <c r="C149" s="106">
        <f t="shared" si="22"/>
        <v>45688</v>
      </c>
      <c r="D149" s="795">
        <f t="shared" si="17"/>
        <v>33889.291013548536</v>
      </c>
      <c r="E149" s="795" t="str">
        <f>IF($A149="","",IF($A149=1,D$29*$F149*($C149-$C$28)/$K$17,
(D149*ROUND(($C149-VLOOKUP($A149-1,$A$28:$C149,3,0))/30,0)/12*$F149)
))</f>
        <v/>
      </c>
      <c r="F149" s="107">
        <f t="shared" si="18"/>
        <v>0.06</v>
      </c>
      <c r="G149" s="795">
        <f t="shared" si="14"/>
        <v>0</v>
      </c>
      <c r="H149" s="795">
        <f t="shared" si="19"/>
        <v>0</v>
      </c>
      <c r="I149" s="795">
        <f t="shared" si="20"/>
        <v>0</v>
      </c>
      <c r="J149" s="795">
        <f t="shared" si="21"/>
        <v>0</v>
      </c>
      <c r="K149" s="108">
        <f t="shared" si="15"/>
        <v>2025</v>
      </c>
      <c r="L149" s="92" t="str">
        <f t="shared" si="16"/>
        <v/>
      </c>
    </row>
    <row r="150" spans="1:12" ht="12.75" customHeight="1">
      <c r="A150" s="90" t="str">
        <f>IF(B150&lt;&gt;"",MAX(A$28:A149)+1,IF(ISNA(HLOOKUP(DATE(YEAR($C$21),MONTH(C150),DAY(C150)),$C$21:$N$21,1,0)),"",MAX(A$28:A149)+1))</f>
        <v/>
      </c>
      <c r="B150" s="91" t="str">
        <f>IF(C150&lt;$K$16,"",IF(ISNA(HLOOKUP(DATE(YEAR($C$20),MONTH($C150),DAY($C150)),$C$20:$N$20,1,0)),"",MAX(B$28:B149)+1))</f>
        <v/>
      </c>
      <c r="C150" s="106">
        <f t="shared" si="22"/>
        <v>45716</v>
      </c>
      <c r="D150" s="795">
        <f t="shared" si="17"/>
        <v>33889.291013548536</v>
      </c>
      <c r="E150" s="795" t="str">
        <f>IF($A150="","",IF($A150=1,D$29*$F150*($C150-$C$28)/$K$17,
(D150*ROUND(($C150-VLOOKUP($A150-1,$A$28:$C150,3,0))/30,0)/12*$F150)
))</f>
        <v/>
      </c>
      <c r="F150" s="107">
        <f t="shared" si="18"/>
        <v>0.06</v>
      </c>
      <c r="G150" s="795">
        <f t="shared" si="14"/>
        <v>0</v>
      </c>
      <c r="H150" s="795">
        <f t="shared" si="19"/>
        <v>0</v>
      </c>
      <c r="I150" s="795">
        <f t="shared" si="20"/>
        <v>0</v>
      </c>
      <c r="J150" s="795">
        <f t="shared" si="21"/>
        <v>0</v>
      </c>
      <c r="K150" s="108">
        <f t="shared" si="15"/>
        <v>2025</v>
      </c>
      <c r="L150" s="92" t="str">
        <f t="shared" si="16"/>
        <v/>
      </c>
    </row>
    <row r="151" spans="1:12" ht="12.75" customHeight="1">
      <c r="A151" s="90">
        <f>IF(B151&lt;&gt;"",MAX(A$28:A150)+1,IF(ISNA(HLOOKUP(DATE(YEAR($C$21),MONTH(C151),DAY(C151)),$C$21:$N$21,1,0)),"",MAX(A$28:A150)+1))</f>
        <v>41</v>
      </c>
      <c r="B151" s="91">
        <f>IF(C151&lt;$K$16,"",IF(ISNA(HLOOKUP(DATE(YEAR($C$20),MONTH($C151),DAY($C151)),$C$20:$N$20,1,0)),"",MAX(B$28:B150)+1))</f>
        <v>29</v>
      </c>
      <c r="C151" s="106">
        <f t="shared" si="22"/>
        <v>45747</v>
      </c>
      <c r="D151" s="795">
        <f t="shared" si="17"/>
        <v>33889.291013548536</v>
      </c>
      <c r="E151" s="795">
        <f>IF($A151="","",IF($A151=1,D$29*$F151*($C151-$C$28)/$K$17,
(D151*ROUND(($C151-VLOOKUP($A151-1,$A$28:$C151,3,0))/30,0)/12*$F151)
))</f>
        <v>508.339365203228</v>
      </c>
      <c r="F151" s="107">
        <f t="shared" si="18"/>
        <v>0.06</v>
      </c>
      <c r="G151" s="795">
        <f t="shared" si="14"/>
        <v>656.08724642168067</v>
      </c>
      <c r="H151" s="795">
        <f t="shared" si="19"/>
        <v>717.64705882352939</v>
      </c>
      <c r="I151" s="795">
        <f t="shared" si="20"/>
        <v>656.08724642168067</v>
      </c>
      <c r="J151" s="795">
        <f t="shared" si="21"/>
        <v>1164.4266116249087</v>
      </c>
      <c r="K151" s="108">
        <f t="shared" si="15"/>
        <v>2025</v>
      </c>
      <c r="L151" s="92" t="str">
        <f t="shared" si="16"/>
        <v/>
      </c>
    </row>
    <row r="152" spans="1:12" ht="12.75" customHeight="1">
      <c r="A152" s="90" t="str">
        <f>IF(B152&lt;&gt;"",MAX(A$28:A151)+1,IF(ISNA(HLOOKUP(DATE(YEAR($C$21),MONTH(C152),DAY(C152)),$C$21:$N$21,1,0)),"",MAX(A$28:A151)+1))</f>
        <v/>
      </c>
      <c r="B152" s="91" t="str">
        <f>IF(C152&lt;$K$16,"",IF(ISNA(HLOOKUP(DATE(YEAR($C$20),MONTH($C152),DAY($C152)),$C$20:$N$20,1,0)),"",MAX(B$28:B151)+1))</f>
        <v/>
      </c>
      <c r="C152" s="106">
        <f t="shared" si="22"/>
        <v>45777</v>
      </c>
      <c r="D152" s="795">
        <f t="shared" si="17"/>
        <v>33233.203767126855</v>
      </c>
      <c r="E152" s="795" t="str">
        <f>IF($A152="","",IF($A152=1,D$29*$F152*($C152-$C$28)/$K$17,
(D152*ROUND(($C152-VLOOKUP($A152-1,$A$28:$C152,3,0))/30,0)/12*$F152)
))</f>
        <v/>
      </c>
      <c r="F152" s="107">
        <f t="shared" si="18"/>
        <v>0.06</v>
      </c>
      <c r="G152" s="795">
        <f t="shared" si="14"/>
        <v>0</v>
      </c>
      <c r="H152" s="795">
        <f t="shared" si="19"/>
        <v>0</v>
      </c>
      <c r="I152" s="795">
        <f t="shared" si="20"/>
        <v>0</v>
      </c>
      <c r="J152" s="795">
        <f t="shared" si="21"/>
        <v>0</v>
      </c>
      <c r="K152" s="108">
        <f t="shared" si="15"/>
        <v>2025</v>
      </c>
      <c r="L152" s="92" t="str">
        <f t="shared" si="16"/>
        <v/>
      </c>
    </row>
    <row r="153" spans="1:12" ht="12.75" customHeight="1">
      <c r="A153" s="90" t="str">
        <f>IF(B153&lt;&gt;"",MAX(A$28:A152)+1,IF(ISNA(HLOOKUP(DATE(YEAR($C$21),MONTH(C153),DAY(C153)),$C$21:$N$21,1,0)),"",MAX(A$28:A152)+1))</f>
        <v/>
      </c>
      <c r="B153" s="91" t="str">
        <f>IF(C153&lt;$K$16,"",IF(ISNA(HLOOKUP(DATE(YEAR($C$20),MONTH($C153),DAY($C153)),$C$20:$N$20,1,0)),"",MAX(B$28:B152)+1))</f>
        <v/>
      </c>
      <c r="C153" s="106">
        <f t="shared" si="22"/>
        <v>45808</v>
      </c>
      <c r="D153" s="795">
        <f t="shared" si="17"/>
        <v>33233.203767126855</v>
      </c>
      <c r="E153" s="795" t="str">
        <f>IF($A153="","",IF($A153=1,D$29*$F153*($C153-$C$28)/$K$17,
(D153*ROUND(($C153-VLOOKUP($A153-1,$A$28:$C153,3,0))/30,0)/12*$F153)
))</f>
        <v/>
      </c>
      <c r="F153" s="107">
        <f t="shared" si="18"/>
        <v>0.06</v>
      </c>
      <c r="G153" s="795">
        <f t="shared" si="14"/>
        <v>0</v>
      </c>
      <c r="H153" s="795">
        <f t="shared" si="19"/>
        <v>0</v>
      </c>
      <c r="I153" s="795">
        <f t="shared" si="20"/>
        <v>0</v>
      </c>
      <c r="J153" s="795">
        <f t="shared" si="21"/>
        <v>0</v>
      </c>
      <c r="K153" s="108">
        <f t="shared" si="15"/>
        <v>2025</v>
      </c>
      <c r="L153" s="92" t="str">
        <f t="shared" si="16"/>
        <v/>
      </c>
    </row>
    <row r="154" spans="1:12" ht="12.75" customHeight="1">
      <c r="A154" s="90">
        <f>IF(B154&lt;&gt;"",MAX(A$28:A153)+1,IF(ISNA(HLOOKUP(DATE(YEAR($C$21),MONTH(C154),DAY(C154)),$C$21:$N$21,1,0)),"",MAX(A$28:A153)+1))</f>
        <v>42</v>
      </c>
      <c r="B154" s="91">
        <f>IF(C154&lt;$K$16,"",IF(ISNA(HLOOKUP(DATE(YEAR($C$20),MONTH($C154),DAY($C154)),$C$20:$N$20,1,0)),"",MAX(B$28:B153)+1))</f>
        <v>30</v>
      </c>
      <c r="C154" s="106">
        <f t="shared" si="22"/>
        <v>45838</v>
      </c>
      <c r="D154" s="795">
        <f t="shared" si="17"/>
        <v>33233.203767126855</v>
      </c>
      <c r="E154" s="795">
        <f>IF($A154="","",IF($A154=1,D$29*$F154*($C154-$C$28)/$K$17,
(D154*ROUND(($C154-VLOOKUP($A154-1,$A$28:$C154,3,0))/30,0)/12*$F154)
))</f>
        <v>498.4980565069028</v>
      </c>
      <c r="F154" s="107">
        <f t="shared" si="18"/>
        <v>0.06</v>
      </c>
      <c r="G154" s="795">
        <f t="shared" si="14"/>
        <v>665.92855511800587</v>
      </c>
      <c r="H154" s="795">
        <f t="shared" si="19"/>
        <v>717.64705882352939</v>
      </c>
      <c r="I154" s="795">
        <f t="shared" si="20"/>
        <v>665.92855511800587</v>
      </c>
      <c r="J154" s="795">
        <f t="shared" si="21"/>
        <v>1164.4266116249087</v>
      </c>
      <c r="K154" s="108">
        <f t="shared" si="15"/>
        <v>2025</v>
      </c>
      <c r="L154" s="92" t="str">
        <f t="shared" si="16"/>
        <v/>
      </c>
    </row>
    <row r="155" spans="1:12" ht="12.75" customHeight="1">
      <c r="A155" s="90" t="str">
        <f>IF(B155&lt;&gt;"",MAX(A$28:A154)+1,IF(ISNA(HLOOKUP(DATE(YEAR($C$21),MONTH(C155),DAY(C155)),$C$21:$N$21,1,0)),"",MAX(A$28:A154)+1))</f>
        <v/>
      </c>
      <c r="B155" s="91" t="str">
        <f>IF(C155&lt;$K$16,"",IF(ISNA(HLOOKUP(DATE(YEAR($C$20),MONTH($C155),DAY($C155)),$C$20:$N$20,1,0)),"",MAX(B$28:B154)+1))</f>
        <v/>
      </c>
      <c r="C155" s="106">
        <f t="shared" si="22"/>
        <v>45869</v>
      </c>
      <c r="D155" s="795">
        <f t="shared" si="17"/>
        <v>32567.275212008848</v>
      </c>
      <c r="E155" s="795" t="str">
        <f>IF($A155="","",IF($A155=1,D$29*$F155*($C155-$C$28)/$K$17,
(D155*ROUND(($C155-VLOOKUP($A155-1,$A$28:$C155,3,0))/30,0)/12*$F155)
))</f>
        <v/>
      </c>
      <c r="F155" s="107">
        <f t="shared" si="18"/>
        <v>0.06</v>
      </c>
      <c r="G155" s="795">
        <f t="shared" si="14"/>
        <v>0</v>
      </c>
      <c r="H155" s="795">
        <f t="shared" si="19"/>
        <v>0</v>
      </c>
      <c r="I155" s="795">
        <f t="shared" si="20"/>
        <v>0</v>
      </c>
      <c r="J155" s="795">
        <f t="shared" si="21"/>
        <v>0</v>
      </c>
      <c r="K155" s="108">
        <f t="shared" si="15"/>
        <v>2025</v>
      </c>
      <c r="L155" s="92" t="str">
        <f t="shared" si="16"/>
        <v/>
      </c>
    </row>
    <row r="156" spans="1:12" ht="12.75" customHeight="1">
      <c r="A156" s="90" t="str">
        <f>IF(B156&lt;&gt;"",MAX(A$28:A155)+1,IF(ISNA(HLOOKUP(DATE(YEAR($C$21),MONTH(C156),DAY(C156)),$C$21:$N$21,1,0)),"",MAX(A$28:A155)+1))</f>
        <v/>
      </c>
      <c r="B156" s="91" t="str">
        <f>IF(C156&lt;$K$16,"",IF(ISNA(HLOOKUP(DATE(YEAR($C$20),MONTH($C156),DAY($C156)),$C$20:$N$20,1,0)),"",MAX(B$28:B155)+1))</f>
        <v/>
      </c>
      <c r="C156" s="106">
        <f t="shared" si="22"/>
        <v>45900</v>
      </c>
      <c r="D156" s="795">
        <f t="shared" si="17"/>
        <v>32567.275212008848</v>
      </c>
      <c r="E156" s="795" t="str">
        <f>IF($A156="","",IF($A156=1,D$29*$F156*($C156-$C$28)/$K$17,
(D156*ROUND(($C156-VLOOKUP($A156-1,$A$28:$C156,3,0))/30,0)/12*$F156)
))</f>
        <v/>
      </c>
      <c r="F156" s="107">
        <f t="shared" si="18"/>
        <v>0.06</v>
      </c>
      <c r="G156" s="795">
        <f t="shared" ref="G156:G219" si="23">IF($A$26=1,I156,H156)</f>
        <v>0</v>
      </c>
      <c r="H156" s="795">
        <f t="shared" si="19"/>
        <v>0</v>
      </c>
      <c r="I156" s="795">
        <f t="shared" si="20"/>
        <v>0</v>
      </c>
      <c r="J156" s="795">
        <f t="shared" si="21"/>
        <v>0</v>
      </c>
      <c r="K156" s="108">
        <f t="shared" ref="K156:K219" si="24">YEAR(C156)</f>
        <v>2025</v>
      </c>
      <c r="L156" s="92" t="str">
        <f t="shared" ref="L156:L219" si="25">IF(AND(D156&gt;1,D157&lt;1),C156,"")</f>
        <v/>
      </c>
    </row>
    <row r="157" spans="1:12" ht="12.75" customHeight="1">
      <c r="A157" s="90">
        <f>IF(B157&lt;&gt;"",MAX(A$28:A156)+1,IF(ISNA(HLOOKUP(DATE(YEAR($C$21),MONTH(C157),DAY(C157)),$C$21:$N$21,1,0)),"",MAX(A$28:A156)+1))</f>
        <v>43</v>
      </c>
      <c r="B157" s="91">
        <f>IF(C157&lt;$K$16,"",IF(ISNA(HLOOKUP(DATE(YEAR($C$20),MONTH($C157),DAY($C157)),$C$20:$N$20,1,0)),"",MAX(B$28:B156)+1))</f>
        <v>31</v>
      </c>
      <c r="C157" s="106">
        <f t="shared" si="22"/>
        <v>45930</v>
      </c>
      <c r="D157" s="795">
        <f t="shared" ref="D157:D220" si="26">D156-G156</f>
        <v>32567.275212008848</v>
      </c>
      <c r="E157" s="795">
        <f>IF($A157="","",IF($A157=1,D$29*$F157*($C157-$C$28)/$K$17,
(D157*ROUND(($C157-VLOOKUP($A157-1,$A$28:$C157,3,0))/30,0)/12*$F157)
))</f>
        <v>488.50912818013262</v>
      </c>
      <c r="F157" s="107">
        <f t="shared" ref="F157:F220" si="27">IF(C157&gt;=$E$16,$E$15,$C$15)</f>
        <v>0.06</v>
      </c>
      <c r="G157" s="795">
        <f t="shared" si="23"/>
        <v>675.91748344477605</v>
      </c>
      <c r="H157" s="795">
        <f t="shared" ref="H157:H220" si="28">IF(B157="",0,MIN(D157,$E$14*$K$15/$H$16))</f>
        <v>717.64705882352939</v>
      </c>
      <c r="I157" s="795">
        <f t="shared" ref="I157:I220" si="29">IF(B157="",0,MIN(D156,IF(C157&gt;$E$16,$H$18,$H$15)/$H$16-E157))</f>
        <v>675.91748344477605</v>
      </c>
      <c r="J157" s="795">
        <f t="shared" ref="J157:J220" si="30">SUM(E157,G157)</f>
        <v>1164.4266116249087</v>
      </c>
      <c r="K157" s="108">
        <f t="shared" si="24"/>
        <v>2025</v>
      </c>
      <c r="L157" s="92" t="str">
        <f t="shared" si="25"/>
        <v/>
      </c>
    </row>
    <row r="158" spans="1:12" ht="12.75" customHeight="1">
      <c r="A158" s="90" t="str">
        <f>IF(B158&lt;&gt;"",MAX(A$28:A157)+1,IF(ISNA(HLOOKUP(DATE(YEAR($C$21),MONTH(C158),DAY(C158)),$C$21:$N$21,1,0)),"",MAX(A$28:A157)+1))</f>
        <v/>
      </c>
      <c r="B158" s="91" t="str">
        <f>IF(C158&lt;$K$16,"",IF(ISNA(HLOOKUP(DATE(YEAR($C$20),MONTH($C158),DAY($C158)),$C$20:$N$20,1,0)),"",MAX(B$28:B157)+1))</f>
        <v/>
      </c>
      <c r="C158" s="106">
        <f t="shared" ref="C158:C221" si="31">DATE(YEAR(C157),MONTH(C157)+2,1)-1</f>
        <v>45961</v>
      </c>
      <c r="D158" s="795">
        <f t="shared" si="26"/>
        <v>31891.357728564071</v>
      </c>
      <c r="E158" s="795" t="str">
        <f>IF($A158="","",IF($A158=1,D$29*$F158*($C158-$C$28)/$K$17,
(D158*ROUND(($C158-VLOOKUP($A158-1,$A$28:$C158,3,0))/30,0)/12*$F158)
))</f>
        <v/>
      </c>
      <c r="F158" s="107">
        <f t="shared" si="27"/>
        <v>0.06</v>
      </c>
      <c r="G158" s="795">
        <f t="shared" si="23"/>
        <v>0</v>
      </c>
      <c r="H158" s="795">
        <f t="shared" si="28"/>
        <v>0</v>
      </c>
      <c r="I158" s="795">
        <f t="shared" si="29"/>
        <v>0</v>
      </c>
      <c r="J158" s="795">
        <f t="shared" si="30"/>
        <v>0</v>
      </c>
      <c r="K158" s="108">
        <f t="shared" si="24"/>
        <v>2025</v>
      </c>
      <c r="L158" s="92" t="str">
        <f t="shared" si="25"/>
        <v/>
      </c>
    </row>
    <row r="159" spans="1:12" ht="12.75" customHeight="1">
      <c r="A159" s="90" t="str">
        <f>IF(B159&lt;&gt;"",MAX(A$28:A158)+1,IF(ISNA(HLOOKUP(DATE(YEAR($C$21),MONTH(C159),DAY(C159)),$C$21:$N$21,1,0)),"",MAX(A$28:A158)+1))</f>
        <v/>
      </c>
      <c r="B159" s="91" t="str">
        <f>IF(C159&lt;$K$16,"",IF(ISNA(HLOOKUP(DATE(YEAR($C$20),MONTH($C159),DAY($C159)),$C$20:$N$20,1,0)),"",MAX(B$28:B158)+1))</f>
        <v/>
      </c>
      <c r="C159" s="106">
        <f t="shared" si="31"/>
        <v>45991</v>
      </c>
      <c r="D159" s="795">
        <f t="shared" si="26"/>
        <v>31891.357728564071</v>
      </c>
      <c r="E159" s="795" t="str">
        <f>IF($A159="","",IF($A159=1,D$29*$F159*($C159-$C$28)/$K$17,
(D159*ROUND(($C159-VLOOKUP($A159-1,$A$28:$C159,3,0))/30,0)/12*$F159)
))</f>
        <v/>
      </c>
      <c r="F159" s="107">
        <f t="shared" si="27"/>
        <v>0.06</v>
      </c>
      <c r="G159" s="795">
        <f t="shared" si="23"/>
        <v>0</v>
      </c>
      <c r="H159" s="795">
        <f t="shared" si="28"/>
        <v>0</v>
      </c>
      <c r="I159" s="795">
        <f t="shared" si="29"/>
        <v>0</v>
      </c>
      <c r="J159" s="795">
        <f t="shared" si="30"/>
        <v>0</v>
      </c>
      <c r="K159" s="108">
        <f t="shared" si="24"/>
        <v>2025</v>
      </c>
      <c r="L159" s="92" t="str">
        <f t="shared" si="25"/>
        <v/>
      </c>
    </row>
    <row r="160" spans="1:12" ht="12.75" customHeight="1">
      <c r="A160" s="90">
        <f>IF(B160&lt;&gt;"",MAX(A$28:A159)+1,IF(ISNA(HLOOKUP(DATE(YEAR($C$21),MONTH(C160),DAY(C160)),$C$21:$N$21,1,0)),"",MAX(A$28:A159)+1))</f>
        <v>44</v>
      </c>
      <c r="B160" s="91">
        <f>IF(C160&lt;$K$16,"",IF(ISNA(HLOOKUP(DATE(YEAR($C$20),MONTH($C160),DAY($C160)),$C$20:$N$20,1,0)),"",MAX(B$28:B159)+1))</f>
        <v>32</v>
      </c>
      <c r="C160" s="106">
        <f t="shared" si="31"/>
        <v>46022</v>
      </c>
      <c r="D160" s="795">
        <f t="shared" si="26"/>
        <v>31891.357728564071</v>
      </c>
      <c r="E160" s="795">
        <f>IF($A160="","",IF($A160=1,D$29*$F160*($C160-$C$28)/$K$17,
(D160*ROUND(($C160-VLOOKUP($A160-1,$A$28:$C160,3,0))/30,0)/12*$F160)
))</f>
        <v>478.37036592846113</v>
      </c>
      <c r="F160" s="107">
        <f t="shared" si="27"/>
        <v>0.06</v>
      </c>
      <c r="G160" s="795">
        <f t="shared" si="23"/>
        <v>686.0562456964476</v>
      </c>
      <c r="H160" s="795">
        <f t="shared" si="28"/>
        <v>717.64705882352939</v>
      </c>
      <c r="I160" s="795">
        <f t="shared" si="29"/>
        <v>686.0562456964476</v>
      </c>
      <c r="J160" s="795">
        <f t="shared" si="30"/>
        <v>1164.4266116249087</v>
      </c>
      <c r="K160" s="108">
        <f t="shared" si="24"/>
        <v>2025</v>
      </c>
      <c r="L160" s="92" t="str">
        <f t="shared" si="25"/>
        <v/>
      </c>
    </row>
    <row r="161" spans="1:12" ht="12.75" customHeight="1">
      <c r="A161" s="90" t="str">
        <f>IF(B161&lt;&gt;"",MAX(A$28:A160)+1,IF(ISNA(HLOOKUP(DATE(YEAR($C$21),MONTH(C161),DAY(C161)),$C$21:$N$21,1,0)),"",MAX(A$28:A160)+1))</f>
        <v/>
      </c>
      <c r="B161" s="91" t="str">
        <f>IF(C161&lt;$K$16,"",IF(ISNA(HLOOKUP(DATE(YEAR($C$20),MONTH($C161),DAY($C161)),$C$20:$N$20,1,0)),"",MAX(B$28:B160)+1))</f>
        <v/>
      </c>
      <c r="C161" s="106">
        <f t="shared" si="31"/>
        <v>46053</v>
      </c>
      <c r="D161" s="795">
        <f t="shared" si="26"/>
        <v>31205.301482867624</v>
      </c>
      <c r="E161" s="795" t="str">
        <f>IF($A161="","",IF($A161=1,D$29*$F161*($C161-$C$28)/$K$17,
(D161*ROUND(($C161-VLOOKUP($A161-1,$A$28:$C161,3,0))/30,0)/12*$F161)
))</f>
        <v/>
      </c>
      <c r="F161" s="107">
        <f t="shared" si="27"/>
        <v>0.06</v>
      </c>
      <c r="G161" s="795">
        <f t="shared" si="23"/>
        <v>0</v>
      </c>
      <c r="H161" s="795">
        <f t="shared" si="28"/>
        <v>0</v>
      </c>
      <c r="I161" s="795">
        <f t="shared" si="29"/>
        <v>0</v>
      </c>
      <c r="J161" s="795">
        <f t="shared" si="30"/>
        <v>0</v>
      </c>
      <c r="K161" s="108">
        <f t="shared" si="24"/>
        <v>2026</v>
      </c>
      <c r="L161" s="92" t="str">
        <f t="shared" si="25"/>
        <v/>
      </c>
    </row>
    <row r="162" spans="1:12" ht="12.75" customHeight="1">
      <c r="A162" s="90" t="str">
        <f>IF(B162&lt;&gt;"",MAX(A$28:A161)+1,IF(ISNA(HLOOKUP(DATE(YEAR($C$21),MONTH(C162),DAY(C162)),$C$21:$N$21,1,0)),"",MAX(A$28:A161)+1))</f>
        <v/>
      </c>
      <c r="B162" s="91" t="str">
        <f>IF(C162&lt;$K$16,"",IF(ISNA(HLOOKUP(DATE(YEAR($C$20),MONTH($C162),DAY($C162)),$C$20:$N$20,1,0)),"",MAX(B$28:B161)+1))</f>
        <v/>
      </c>
      <c r="C162" s="106">
        <f t="shared" si="31"/>
        <v>46081</v>
      </c>
      <c r="D162" s="795">
        <f t="shared" si="26"/>
        <v>31205.301482867624</v>
      </c>
      <c r="E162" s="795" t="str">
        <f>IF($A162="","",IF($A162=1,D$29*$F162*($C162-$C$28)/$K$17,
(D162*ROUND(($C162-VLOOKUP($A162-1,$A$28:$C162,3,0))/30,0)/12*$F162)
))</f>
        <v/>
      </c>
      <c r="F162" s="107">
        <f t="shared" si="27"/>
        <v>0.06</v>
      </c>
      <c r="G162" s="795">
        <f t="shared" si="23"/>
        <v>0</v>
      </c>
      <c r="H162" s="795">
        <f t="shared" si="28"/>
        <v>0</v>
      </c>
      <c r="I162" s="795">
        <f t="shared" si="29"/>
        <v>0</v>
      </c>
      <c r="J162" s="795">
        <f t="shared" si="30"/>
        <v>0</v>
      </c>
      <c r="K162" s="108">
        <f t="shared" si="24"/>
        <v>2026</v>
      </c>
      <c r="L162" s="92" t="str">
        <f t="shared" si="25"/>
        <v/>
      </c>
    </row>
    <row r="163" spans="1:12" ht="12.75" customHeight="1">
      <c r="A163" s="90">
        <f>IF(B163&lt;&gt;"",MAX(A$28:A162)+1,IF(ISNA(HLOOKUP(DATE(YEAR($C$21),MONTH(C163),DAY(C163)),$C$21:$N$21,1,0)),"",MAX(A$28:A162)+1))</f>
        <v>45</v>
      </c>
      <c r="B163" s="91">
        <f>IF(C163&lt;$K$16,"",IF(ISNA(HLOOKUP(DATE(YEAR($C$20),MONTH($C163),DAY($C163)),$C$20:$N$20,1,0)),"",MAX(B$28:B162)+1))</f>
        <v>33</v>
      </c>
      <c r="C163" s="106">
        <f t="shared" si="31"/>
        <v>46112</v>
      </c>
      <c r="D163" s="795">
        <f t="shared" si="26"/>
        <v>31205.301482867624</v>
      </c>
      <c r="E163" s="795">
        <f>IF($A163="","",IF($A163=1,D$29*$F163*($C163-$C$28)/$K$17,
(D163*ROUND(($C163-VLOOKUP($A163-1,$A$28:$C163,3,0))/30,0)/12*$F163)
))</f>
        <v>468.07952224301437</v>
      </c>
      <c r="F163" s="107">
        <f t="shared" si="27"/>
        <v>0.06</v>
      </c>
      <c r="G163" s="795">
        <f t="shared" si="23"/>
        <v>696.34708938189431</v>
      </c>
      <c r="H163" s="795">
        <f t="shared" si="28"/>
        <v>717.64705882352939</v>
      </c>
      <c r="I163" s="795">
        <f t="shared" si="29"/>
        <v>696.34708938189431</v>
      </c>
      <c r="J163" s="795">
        <f t="shared" si="30"/>
        <v>1164.4266116249087</v>
      </c>
      <c r="K163" s="108">
        <f t="shared" si="24"/>
        <v>2026</v>
      </c>
      <c r="L163" s="92" t="str">
        <f t="shared" si="25"/>
        <v/>
      </c>
    </row>
    <row r="164" spans="1:12" ht="12.75" customHeight="1">
      <c r="A164" s="90" t="str">
        <f>IF(B164&lt;&gt;"",MAX(A$28:A163)+1,IF(ISNA(HLOOKUP(DATE(YEAR($C$21),MONTH(C164),DAY(C164)),$C$21:$N$21,1,0)),"",MAX(A$28:A163)+1))</f>
        <v/>
      </c>
      <c r="B164" s="91" t="str">
        <f>IF(C164&lt;$K$16,"",IF(ISNA(HLOOKUP(DATE(YEAR($C$20),MONTH($C164),DAY($C164)),$C$20:$N$20,1,0)),"",MAX(B$28:B163)+1))</f>
        <v/>
      </c>
      <c r="C164" s="106">
        <f t="shared" si="31"/>
        <v>46142</v>
      </c>
      <c r="D164" s="795">
        <f t="shared" si="26"/>
        <v>30508.954393485728</v>
      </c>
      <c r="E164" s="795" t="str">
        <f>IF($A164="","",IF($A164=1,D$29*$F164*($C164-$C$28)/$K$17,
(D164*ROUND(($C164-VLOOKUP($A164-1,$A$28:$C164,3,0))/30,0)/12*$F164)
))</f>
        <v/>
      </c>
      <c r="F164" s="107">
        <f t="shared" si="27"/>
        <v>0.06</v>
      </c>
      <c r="G164" s="795">
        <f t="shared" si="23"/>
        <v>0</v>
      </c>
      <c r="H164" s="795">
        <f t="shared" si="28"/>
        <v>0</v>
      </c>
      <c r="I164" s="795">
        <f t="shared" si="29"/>
        <v>0</v>
      </c>
      <c r="J164" s="795">
        <f t="shared" si="30"/>
        <v>0</v>
      </c>
      <c r="K164" s="108">
        <f t="shared" si="24"/>
        <v>2026</v>
      </c>
      <c r="L164" s="92" t="str">
        <f t="shared" si="25"/>
        <v/>
      </c>
    </row>
    <row r="165" spans="1:12" ht="12.75" customHeight="1">
      <c r="A165" s="90" t="str">
        <f>IF(B165&lt;&gt;"",MAX(A$28:A164)+1,IF(ISNA(HLOOKUP(DATE(YEAR($C$21),MONTH(C165),DAY(C165)),$C$21:$N$21,1,0)),"",MAX(A$28:A164)+1))</f>
        <v/>
      </c>
      <c r="B165" s="91" t="str">
        <f>IF(C165&lt;$K$16,"",IF(ISNA(HLOOKUP(DATE(YEAR($C$20),MONTH($C165),DAY($C165)),$C$20:$N$20,1,0)),"",MAX(B$28:B164)+1))</f>
        <v/>
      </c>
      <c r="C165" s="106">
        <f t="shared" si="31"/>
        <v>46173</v>
      </c>
      <c r="D165" s="795">
        <f t="shared" si="26"/>
        <v>30508.954393485728</v>
      </c>
      <c r="E165" s="795" t="str">
        <f>IF($A165="","",IF($A165=1,D$29*$F165*($C165-$C$28)/$K$17,
(D165*ROUND(($C165-VLOOKUP($A165-1,$A$28:$C165,3,0))/30,0)/12*$F165)
))</f>
        <v/>
      </c>
      <c r="F165" s="107">
        <f t="shared" si="27"/>
        <v>0.06</v>
      </c>
      <c r="G165" s="795">
        <f t="shared" si="23"/>
        <v>0</v>
      </c>
      <c r="H165" s="795">
        <f t="shared" si="28"/>
        <v>0</v>
      </c>
      <c r="I165" s="795">
        <f t="shared" si="29"/>
        <v>0</v>
      </c>
      <c r="J165" s="795">
        <f t="shared" si="30"/>
        <v>0</v>
      </c>
      <c r="K165" s="108">
        <f t="shared" si="24"/>
        <v>2026</v>
      </c>
      <c r="L165" s="92" t="str">
        <f t="shared" si="25"/>
        <v/>
      </c>
    </row>
    <row r="166" spans="1:12" ht="12.75" customHeight="1">
      <c r="A166" s="90">
        <f>IF(B166&lt;&gt;"",MAX(A$28:A165)+1,IF(ISNA(HLOOKUP(DATE(YEAR($C$21),MONTH(C166),DAY(C166)),$C$21:$N$21,1,0)),"",MAX(A$28:A165)+1))</f>
        <v>46</v>
      </c>
      <c r="B166" s="91">
        <f>IF(C166&lt;$K$16,"",IF(ISNA(HLOOKUP(DATE(YEAR($C$20),MONTH($C166),DAY($C166)),$C$20:$N$20,1,0)),"",MAX(B$28:B165)+1))</f>
        <v>34</v>
      </c>
      <c r="C166" s="106">
        <f t="shared" si="31"/>
        <v>46203</v>
      </c>
      <c r="D166" s="795">
        <f t="shared" si="26"/>
        <v>30508.954393485728</v>
      </c>
      <c r="E166" s="795">
        <f>IF($A166="","",IF($A166=1,D$29*$F166*($C166-$C$28)/$K$17,
(D166*ROUND(($C166-VLOOKUP($A166-1,$A$28:$C166,3,0))/30,0)/12*$F166)
))</f>
        <v>457.63431590228583</v>
      </c>
      <c r="F166" s="107">
        <f t="shared" si="27"/>
        <v>0.06</v>
      </c>
      <c r="G166" s="795">
        <f t="shared" si="23"/>
        <v>706.79229572262284</v>
      </c>
      <c r="H166" s="795">
        <f t="shared" si="28"/>
        <v>717.64705882352939</v>
      </c>
      <c r="I166" s="795">
        <f t="shared" si="29"/>
        <v>706.79229572262284</v>
      </c>
      <c r="J166" s="795">
        <f t="shared" si="30"/>
        <v>1164.4266116249087</v>
      </c>
      <c r="K166" s="108">
        <f t="shared" si="24"/>
        <v>2026</v>
      </c>
      <c r="L166" s="92" t="str">
        <f t="shared" si="25"/>
        <v/>
      </c>
    </row>
    <row r="167" spans="1:12" ht="12.75" customHeight="1">
      <c r="A167" s="90" t="str">
        <f>IF(B167&lt;&gt;"",MAX(A$28:A166)+1,IF(ISNA(HLOOKUP(DATE(YEAR($C$21),MONTH(C167),DAY(C167)),$C$21:$N$21,1,0)),"",MAX(A$28:A166)+1))</f>
        <v/>
      </c>
      <c r="B167" s="91" t="str">
        <f>IF(C167&lt;$K$16,"",IF(ISNA(HLOOKUP(DATE(YEAR($C$20),MONTH($C167),DAY($C167)),$C$20:$N$20,1,0)),"",MAX(B$28:B166)+1))</f>
        <v/>
      </c>
      <c r="C167" s="106">
        <f t="shared" si="31"/>
        <v>46234</v>
      </c>
      <c r="D167" s="795">
        <f t="shared" si="26"/>
        <v>29802.162097763106</v>
      </c>
      <c r="E167" s="795" t="str">
        <f>IF($A167="","",IF($A167=1,D$29*$F167*($C167-$C$28)/$K$17,
(D167*ROUND(($C167-VLOOKUP($A167-1,$A$28:$C167,3,0))/30,0)/12*$F167)
))</f>
        <v/>
      </c>
      <c r="F167" s="107">
        <f t="shared" si="27"/>
        <v>0.06</v>
      </c>
      <c r="G167" s="795">
        <f t="shared" si="23"/>
        <v>0</v>
      </c>
      <c r="H167" s="795">
        <f t="shared" si="28"/>
        <v>0</v>
      </c>
      <c r="I167" s="795">
        <f t="shared" si="29"/>
        <v>0</v>
      </c>
      <c r="J167" s="795">
        <f t="shared" si="30"/>
        <v>0</v>
      </c>
      <c r="K167" s="108">
        <f t="shared" si="24"/>
        <v>2026</v>
      </c>
      <c r="L167" s="92" t="str">
        <f t="shared" si="25"/>
        <v/>
      </c>
    </row>
    <row r="168" spans="1:12" ht="12.75" customHeight="1">
      <c r="A168" s="90" t="str">
        <f>IF(B168&lt;&gt;"",MAX(A$28:A167)+1,IF(ISNA(HLOOKUP(DATE(YEAR($C$21),MONTH(C168),DAY(C168)),$C$21:$N$21,1,0)),"",MAX(A$28:A167)+1))</f>
        <v/>
      </c>
      <c r="B168" s="91" t="str">
        <f>IF(C168&lt;$K$16,"",IF(ISNA(HLOOKUP(DATE(YEAR($C$20),MONTH($C168),DAY($C168)),$C$20:$N$20,1,0)),"",MAX(B$28:B167)+1))</f>
        <v/>
      </c>
      <c r="C168" s="106">
        <f t="shared" si="31"/>
        <v>46265</v>
      </c>
      <c r="D168" s="795">
        <f t="shared" si="26"/>
        <v>29802.162097763106</v>
      </c>
      <c r="E168" s="795" t="str">
        <f>IF($A168="","",IF($A168=1,D$29*$F168*($C168-$C$28)/$K$17,
(D168*ROUND(($C168-VLOOKUP($A168-1,$A$28:$C168,3,0))/30,0)/12*$F168)
))</f>
        <v/>
      </c>
      <c r="F168" s="107">
        <f t="shared" si="27"/>
        <v>0.06</v>
      </c>
      <c r="G168" s="795">
        <f t="shared" si="23"/>
        <v>0</v>
      </c>
      <c r="H168" s="795">
        <f t="shared" si="28"/>
        <v>0</v>
      </c>
      <c r="I168" s="795">
        <f t="shared" si="29"/>
        <v>0</v>
      </c>
      <c r="J168" s="795">
        <f t="shared" si="30"/>
        <v>0</v>
      </c>
      <c r="K168" s="108">
        <f t="shared" si="24"/>
        <v>2026</v>
      </c>
      <c r="L168" s="92" t="str">
        <f t="shared" si="25"/>
        <v/>
      </c>
    </row>
    <row r="169" spans="1:12" ht="12.75" customHeight="1">
      <c r="A169" s="90">
        <f>IF(B169&lt;&gt;"",MAX(A$28:A168)+1,IF(ISNA(HLOOKUP(DATE(YEAR($C$21),MONTH(C169),DAY(C169)),$C$21:$N$21,1,0)),"",MAX(A$28:A168)+1))</f>
        <v>47</v>
      </c>
      <c r="B169" s="91">
        <f>IF(C169&lt;$K$16,"",IF(ISNA(HLOOKUP(DATE(YEAR($C$20),MONTH($C169),DAY($C169)),$C$20:$N$20,1,0)),"",MAX(B$28:B168)+1))</f>
        <v>35</v>
      </c>
      <c r="C169" s="106">
        <f t="shared" si="31"/>
        <v>46295</v>
      </c>
      <c r="D169" s="795">
        <f t="shared" si="26"/>
        <v>29802.162097763106</v>
      </c>
      <c r="E169" s="795">
        <f>IF($A169="","",IF($A169=1,D$29*$F169*($C169-$C$28)/$K$17,
(D169*ROUND(($C169-VLOOKUP($A169-1,$A$28:$C169,3,0))/30,0)/12*$F169)
))</f>
        <v>447.03243146644655</v>
      </c>
      <c r="F169" s="107">
        <f t="shared" si="27"/>
        <v>0.06</v>
      </c>
      <c r="G169" s="795">
        <f t="shared" si="23"/>
        <v>717.39418015846218</v>
      </c>
      <c r="H169" s="795">
        <f t="shared" si="28"/>
        <v>717.64705882352939</v>
      </c>
      <c r="I169" s="795">
        <f t="shared" si="29"/>
        <v>717.39418015846218</v>
      </c>
      <c r="J169" s="795">
        <f t="shared" si="30"/>
        <v>1164.4266116249087</v>
      </c>
      <c r="K169" s="108">
        <f t="shared" si="24"/>
        <v>2026</v>
      </c>
      <c r="L169" s="92" t="str">
        <f t="shared" si="25"/>
        <v/>
      </c>
    </row>
    <row r="170" spans="1:12" ht="12.75" customHeight="1">
      <c r="A170" s="90" t="str">
        <f>IF(B170&lt;&gt;"",MAX(A$28:A169)+1,IF(ISNA(HLOOKUP(DATE(YEAR($C$21),MONTH(C170),DAY(C170)),$C$21:$N$21,1,0)),"",MAX(A$28:A169)+1))</f>
        <v/>
      </c>
      <c r="B170" s="91" t="str">
        <f>IF(C170&lt;$K$16,"",IF(ISNA(HLOOKUP(DATE(YEAR($C$20),MONTH($C170),DAY($C170)),$C$20:$N$20,1,0)),"",MAX(B$28:B169)+1))</f>
        <v/>
      </c>
      <c r="C170" s="106">
        <f t="shared" si="31"/>
        <v>46326</v>
      </c>
      <c r="D170" s="795">
        <f t="shared" si="26"/>
        <v>29084.767917604644</v>
      </c>
      <c r="E170" s="795" t="str">
        <f>IF($A170="","",IF($A170=1,D$29*$F170*($C170-$C$28)/$K$17,
(D170*ROUND(($C170-VLOOKUP($A170-1,$A$28:$C170,3,0))/30,0)/12*$F170)
))</f>
        <v/>
      </c>
      <c r="F170" s="107">
        <f t="shared" si="27"/>
        <v>0.06</v>
      </c>
      <c r="G170" s="795">
        <f t="shared" si="23"/>
        <v>0</v>
      </c>
      <c r="H170" s="795">
        <f t="shared" si="28"/>
        <v>0</v>
      </c>
      <c r="I170" s="795">
        <f t="shared" si="29"/>
        <v>0</v>
      </c>
      <c r="J170" s="795">
        <f t="shared" si="30"/>
        <v>0</v>
      </c>
      <c r="K170" s="108">
        <f t="shared" si="24"/>
        <v>2026</v>
      </c>
      <c r="L170" s="92" t="str">
        <f t="shared" si="25"/>
        <v/>
      </c>
    </row>
    <row r="171" spans="1:12" ht="12.75" customHeight="1">
      <c r="A171" s="90" t="str">
        <f>IF(B171&lt;&gt;"",MAX(A$28:A170)+1,IF(ISNA(HLOOKUP(DATE(YEAR($C$21),MONTH(C171),DAY(C171)),$C$21:$N$21,1,0)),"",MAX(A$28:A170)+1))</f>
        <v/>
      </c>
      <c r="B171" s="91" t="str">
        <f>IF(C171&lt;$K$16,"",IF(ISNA(HLOOKUP(DATE(YEAR($C$20),MONTH($C171),DAY($C171)),$C$20:$N$20,1,0)),"",MAX(B$28:B170)+1))</f>
        <v/>
      </c>
      <c r="C171" s="106">
        <f t="shared" si="31"/>
        <v>46356</v>
      </c>
      <c r="D171" s="795">
        <f t="shared" si="26"/>
        <v>29084.767917604644</v>
      </c>
      <c r="E171" s="795" t="str">
        <f>IF($A171="","",IF($A171=1,D$29*$F171*($C171-$C$28)/$K$17,
(D171*ROUND(($C171-VLOOKUP($A171-1,$A$28:$C171,3,0))/30,0)/12*$F171)
))</f>
        <v/>
      </c>
      <c r="F171" s="107">
        <f t="shared" si="27"/>
        <v>0.06</v>
      </c>
      <c r="G171" s="795">
        <f t="shared" si="23"/>
        <v>0</v>
      </c>
      <c r="H171" s="795">
        <f t="shared" si="28"/>
        <v>0</v>
      </c>
      <c r="I171" s="795">
        <f t="shared" si="29"/>
        <v>0</v>
      </c>
      <c r="J171" s="795">
        <f t="shared" si="30"/>
        <v>0</v>
      </c>
      <c r="K171" s="108">
        <f t="shared" si="24"/>
        <v>2026</v>
      </c>
      <c r="L171" s="92" t="str">
        <f t="shared" si="25"/>
        <v/>
      </c>
    </row>
    <row r="172" spans="1:12" ht="12.75" customHeight="1">
      <c r="A172" s="90">
        <f>IF(B172&lt;&gt;"",MAX(A$28:A171)+1,IF(ISNA(HLOOKUP(DATE(YEAR($C$21),MONTH(C172),DAY(C172)),$C$21:$N$21,1,0)),"",MAX(A$28:A171)+1))</f>
        <v>48</v>
      </c>
      <c r="B172" s="91">
        <f>IF(C172&lt;$K$16,"",IF(ISNA(HLOOKUP(DATE(YEAR($C$20),MONTH($C172),DAY($C172)),$C$20:$N$20,1,0)),"",MAX(B$28:B171)+1))</f>
        <v>36</v>
      </c>
      <c r="C172" s="106">
        <f t="shared" si="31"/>
        <v>46387</v>
      </c>
      <c r="D172" s="795">
        <f t="shared" si="26"/>
        <v>29084.767917604644</v>
      </c>
      <c r="E172" s="795">
        <f>IF($A172="","",IF($A172=1,D$29*$F172*($C172-$C$28)/$K$17,
(D172*ROUND(($C172-VLOOKUP($A172-1,$A$28:$C172,3,0))/30,0)/12*$F172)
))</f>
        <v>436.27151876406958</v>
      </c>
      <c r="F172" s="107">
        <f t="shared" si="27"/>
        <v>0.06</v>
      </c>
      <c r="G172" s="795">
        <f t="shared" si="23"/>
        <v>728.15509286083909</v>
      </c>
      <c r="H172" s="795">
        <f t="shared" si="28"/>
        <v>717.64705882352939</v>
      </c>
      <c r="I172" s="795">
        <f t="shared" si="29"/>
        <v>728.15509286083909</v>
      </c>
      <c r="J172" s="795">
        <f t="shared" si="30"/>
        <v>1164.4266116249087</v>
      </c>
      <c r="K172" s="108">
        <f t="shared" si="24"/>
        <v>2026</v>
      </c>
      <c r="L172" s="92" t="str">
        <f t="shared" si="25"/>
        <v/>
      </c>
    </row>
    <row r="173" spans="1:12" ht="12.75" customHeight="1">
      <c r="A173" s="90" t="str">
        <f>IF(B173&lt;&gt;"",MAX(A$28:A172)+1,IF(ISNA(HLOOKUP(DATE(YEAR($C$21),MONTH(C173),DAY(C173)),$C$21:$N$21,1,0)),"",MAX(A$28:A172)+1))</f>
        <v/>
      </c>
      <c r="B173" s="91" t="str">
        <f>IF(C173&lt;$K$16,"",IF(ISNA(HLOOKUP(DATE(YEAR($C$20),MONTH($C173),DAY($C173)),$C$20:$N$20,1,0)),"",MAX(B$28:B172)+1))</f>
        <v/>
      </c>
      <c r="C173" s="106">
        <f t="shared" si="31"/>
        <v>46418</v>
      </c>
      <c r="D173" s="795">
        <f t="shared" si="26"/>
        <v>28356.612824743806</v>
      </c>
      <c r="E173" s="795" t="str">
        <f>IF($A173="","",IF($A173=1,D$29*$F173*($C173-$C$28)/$K$17,
(D173*ROUND(($C173-VLOOKUP($A173-1,$A$28:$C173,3,0))/30,0)/12*$F173)
))</f>
        <v/>
      </c>
      <c r="F173" s="107">
        <f t="shared" si="27"/>
        <v>0.06</v>
      </c>
      <c r="G173" s="795">
        <f t="shared" si="23"/>
        <v>0</v>
      </c>
      <c r="H173" s="795">
        <f t="shared" si="28"/>
        <v>0</v>
      </c>
      <c r="I173" s="795">
        <f t="shared" si="29"/>
        <v>0</v>
      </c>
      <c r="J173" s="795">
        <f t="shared" si="30"/>
        <v>0</v>
      </c>
      <c r="K173" s="108">
        <f t="shared" si="24"/>
        <v>2027</v>
      </c>
      <c r="L173" s="92" t="str">
        <f t="shared" si="25"/>
        <v/>
      </c>
    </row>
    <row r="174" spans="1:12" ht="12.75" customHeight="1">
      <c r="A174" s="90" t="str">
        <f>IF(B174&lt;&gt;"",MAX(A$28:A173)+1,IF(ISNA(HLOOKUP(DATE(YEAR($C$21),MONTH(C174),DAY(C174)),$C$21:$N$21,1,0)),"",MAX(A$28:A173)+1))</f>
        <v/>
      </c>
      <c r="B174" s="91" t="str">
        <f>IF(C174&lt;$K$16,"",IF(ISNA(HLOOKUP(DATE(YEAR($C$20),MONTH($C174),DAY($C174)),$C$20:$N$20,1,0)),"",MAX(B$28:B173)+1))</f>
        <v/>
      </c>
      <c r="C174" s="106">
        <f t="shared" si="31"/>
        <v>46446</v>
      </c>
      <c r="D174" s="795">
        <f t="shared" si="26"/>
        <v>28356.612824743806</v>
      </c>
      <c r="E174" s="795" t="str">
        <f>IF($A174="","",IF($A174=1,D$29*$F174*($C174-$C$28)/$K$17,
(D174*ROUND(($C174-VLOOKUP($A174-1,$A$28:$C174,3,0))/30,0)/12*$F174)
))</f>
        <v/>
      </c>
      <c r="F174" s="107">
        <f t="shared" si="27"/>
        <v>0.06</v>
      </c>
      <c r="G174" s="795">
        <f t="shared" si="23"/>
        <v>0</v>
      </c>
      <c r="H174" s="795">
        <f t="shared" si="28"/>
        <v>0</v>
      </c>
      <c r="I174" s="795">
        <f t="shared" si="29"/>
        <v>0</v>
      </c>
      <c r="J174" s="795">
        <f t="shared" si="30"/>
        <v>0</v>
      </c>
      <c r="K174" s="108">
        <f t="shared" si="24"/>
        <v>2027</v>
      </c>
      <c r="L174" s="92" t="str">
        <f t="shared" si="25"/>
        <v/>
      </c>
    </row>
    <row r="175" spans="1:12" ht="12.75" customHeight="1">
      <c r="A175" s="90">
        <f>IF(B175&lt;&gt;"",MAX(A$28:A174)+1,IF(ISNA(HLOOKUP(DATE(YEAR($C$21),MONTH(C175),DAY(C175)),$C$21:$N$21,1,0)),"",MAX(A$28:A174)+1))</f>
        <v>49</v>
      </c>
      <c r="B175" s="91">
        <f>IF(C175&lt;$K$16,"",IF(ISNA(HLOOKUP(DATE(YEAR($C$20),MONTH($C175),DAY($C175)),$C$20:$N$20,1,0)),"",MAX(B$28:B174)+1))</f>
        <v>37</v>
      </c>
      <c r="C175" s="106">
        <f t="shared" si="31"/>
        <v>46477</v>
      </c>
      <c r="D175" s="795">
        <f t="shared" si="26"/>
        <v>28356.612824743806</v>
      </c>
      <c r="E175" s="795">
        <f>IF($A175="","",IF($A175=1,D$29*$F175*($C175-$C$28)/$K$17,
(D175*ROUND(($C175-VLOOKUP($A175-1,$A$28:$C175,3,0))/30,0)/12*$F175)
))</f>
        <v>425.34919237115707</v>
      </c>
      <c r="F175" s="107">
        <f t="shared" si="27"/>
        <v>0.06</v>
      </c>
      <c r="G175" s="795">
        <f t="shared" si="23"/>
        <v>739.0774192537516</v>
      </c>
      <c r="H175" s="795">
        <f t="shared" si="28"/>
        <v>717.64705882352939</v>
      </c>
      <c r="I175" s="795">
        <f t="shared" si="29"/>
        <v>739.0774192537516</v>
      </c>
      <c r="J175" s="795">
        <f t="shared" si="30"/>
        <v>1164.4266116249087</v>
      </c>
      <c r="K175" s="108">
        <f t="shared" si="24"/>
        <v>2027</v>
      </c>
      <c r="L175" s="92" t="str">
        <f t="shared" si="25"/>
        <v/>
      </c>
    </row>
    <row r="176" spans="1:12" ht="12.75" customHeight="1">
      <c r="A176" s="90" t="str">
        <f>IF(B176&lt;&gt;"",MAX(A$28:A175)+1,IF(ISNA(HLOOKUP(DATE(YEAR($C$21),MONTH(C176),DAY(C176)),$C$21:$N$21,1,0)),"",MAX(A$28:A175)+1))</f>
        <v/>
      </c>
      <c r="B176" s="91" t="str">
        <f>IF(C176&lt;$K$16,"",IF(ISNA(HLOOKUP(DATE(YEAR($C$20),MONTH($C176),DAY($C176)),$C$20:$N$20,1,0)),"",MAX(B$28:B175)+1))</f>
        <v/>
      </c>
      <c r="C176" s="106">
        <f t="shared" si="31"/>
        <v>46507</v>
      </c>
      <c r="D176" s="795">
        <f t="shared" si="26"/>
        <v>27617.535405490056</v>
      </c>
      <c r="E176" s="795" t="str">
        <f>IF($A176="","",IF($A176=1,D$29*$F176*($C176-$C$28)/$K$17,
(D176*ROUND(($C176-VLOOKUP($A176-1,$A$28:$C176,3,0))/30,0)/12*$F176)
))</f>
        <v/>
      </c>
      <c r="F176" s="107">
        <f t="shared" si="27"/>
        <v>0.06</v>
      </c>
      <c r="G176" s="795">
        <f t="shared" si="23"/>
        <v>0</v>
      </c>
      <c r="H176" s="795">
        <f t="shared" si="28"/>
        <v>0</v>
      </c>
      <c r="I176" s="795">
        <f t="shared" si="29"/>
        <v>0</v>
      </c>
      <c r="J176" s="795">
        <f t="shared" si="30"/>
        <v>0</v>
      </c>
      <c r="K176" s="108">
        <f t="shared" si="24"/>
        <v>2027</v>
      </c>
      <c r="L176" s="92" t="str">
        <f t="shared" si="25"/>
        <v/>
      </c>
    </row>
    <row r="177" spans="1:12" ht="12.75" customHeight="1">
      <c r="A177" s="90" t="str">
        <f>IF(B177&lt;&gt;"",MAX(A$28:A176)+1,IF(ISNA(HLOOKUP(DATE(YEAR($C$21),MONTH(C177),DAY(C177)),$C$21:$N$21,1,0)),"",MAX(A$28:A176)+1))</f>
        <v/>
      </c>
      <c r="B177" s="91" t="str">
        <f>IF(C177&lt;$K$16,"",IF(ISNA(HLOOKUP(DATE(YEAR($C$20),MONTH($C177),DAY($C177)),$C$20:$N$20,1,0)),"",MAX(B$28:B176)+1))</f>
        <v/>
      </c>
      <c r="C177" s="106">
        <f t="shared" si="31"/>
        <v>46538</v>
      </c>
      <c r="D177" s="795">
        <f t="shared" si="26"/>
        <v>27617.535405490056</v>
      </c>
      <c r="E177" s="795" t="str">
        <f>IF($A177="","",IF($A177=1,D$29*$F177*($C177-$C$28)/$K$17,
(D177*ROUND(($C177-VLOOKUP($A177-1,$A$28:$C177,3,0))/30,0)/12*$F177)
))</f>
        <v/>
      </c>
      <c r="F177" s="107">
        <f t="shared" si="27"/>
        <v>0.06</v>
      </c>
      <c r="G177" s="795">
        <f t="shared" si="23"/>
        <v>0</v>
      </c>
      <c r="H177" s="795">
        <f t="shared" si="28"/>
        <v>0</v>
      </c>
      <c r="I177" s="795">
        <f t="shared" si="29"/>
        <v>0</v>
      </c>
      <c r="J177" s="795">
        <f t="shared" si="30"/>
        <v>0</v>
      </c>
      <c r="K177" s="108">
        <f t="shared" si="24"/>
        <v>2027</v>
      </c>
      <c r="L177" s="92" t="str">
        <f t="shared" si="25"/>
        <v/>
      </c>
    </row>
    <row r="178" spans="1:12" ht="12.75" customHeight="1">
      <c r="A178" s="90">
        <f>IF(B178&lt;&gt;"",MAX(A$28:A177)+1,IF(ISNA(HLOOKUP(DATE(YEAR($C$21),MONTH(C178),DAY(C178)),$C$21:$N$21,1,0)),"",MAX(A$28:A177)+1))</f>
        <v>50</v>
      </c>
      <c r="B178" s="91">
        <f>IF(C178&lt;$K$16,"",IF(ISNA(HLOOKUP(DATE(YEAR($C$20),MONTH($C178),DAY($C178)),$C$20:$N$20,1,0)),"",MAX(B$28:B177)+1))</f>
        <v>38</v>
      </c>
      <c r="C178" s="106">
        <f t="shared" si="31"/>
        <v>46568</v>
      </c>
      <c r="D178" s="795">
        <f t="shared" si="26"/>
        <v>27617.535405490056</v>
      </c>
      <c r="E178" s="795">
        <f>IF($A178="","",IF($A178=1,D$29*$F178*($C178-$C$28)/$K$17,
(D178*ROUND(($C178-VLOOKUP($A178-1,$A$28:$C178,3,0))/30,0)/12*$F178)
))</f>
        <v>414.26303108235084</v>
      </c>
      <c r="F178" s="107">
        <f t="shared" si="27"/>
        <v>0.06</v>
      </c>
      <c r="G178" s="795">
        <f t="shared" si="23"/>
        <v>750.16358054255784</v>
      </c>
      <c r="H178" s="795">
        <f t="shared" si="28"/>
        <v>717.64705882352939</v>
      </c>
      <c r="I178" s="795">
        <f t="shared" si="29"/>
        <v>750.16358054255784</v>
      </c>
      <c r="J178" s="795">
        <f t="shared" si="30"/>
        <v>1164.4266116249087</v>
      </c>
      <c r="K178" s="108">
        <f t="shared" si="24"/>
        <v>2027</v>
      </c>
      <c r="L178" s="92" t="str">
        <f t="shared" si="25"/>
        <v/>
      </c>
    </row>
    <row r="179" spans="1:12" ht="12.75" customHeight="1">
      <c r="A179" s="90" t="str">
        <f>IF(B179&lt;&gt;"",MAX(A$28:A178)+1,IF(ISNA(HLOOKUP(DATE(YEAR($C$21),MONTH(C179),DAY(C179)),$C$21:$N$21,1,0)),"",MAX(A$28:A178)+1))</f>
        <v/>
      </c>
      <c r="B179" s="91" t="str">
        <f>IF(C179&lt;$K$16,"",IF(ISNA(HLOOKUP(DATE(YEAR($C$20),MONTH($C179),DAY($C179)),$C$20:$N$20,1,0)),"",MAX(B$28:B178)+1))</f>
        <v/>
      </c>
      <c r="C179" s="106">
        <f t="shared" si="31"/>
        <v>46599</v>
      </c>
      <c r="D179" s="795">
        <f t="shared" si="26"/>
        <v>26867.371824947499</v>
      </c>
      <c r="E179" s="795" t="str">
        <f>IF($A179="","",IF($A179=1,D$29*$F179*($C179-$C$28)/$K$17,
(D179*ROUND(($C179-VLOOKUP($A179-1,$A$28:$C179,3,0))/30,0)/12*$F179)
))</f>
        <v/>
      </c>
      <c r="F179" s="107">
        <f t="shared" si="27"/>
        <v>0.06</v>
      </c>
      <c r="G179" s="795">
        <f t="shared" si="23"/>
        <v>0</v>
      </c>
      <c r="H179" s="795">
        <f t="shared" si="28"/>
        <v>0</v>
      </c>
      <c r="I179" s="795">
        <f t="shared" si="29"/>
        <v>0</v>
      </c>
      <c r="J179" s="795">
        <f t="shared" si="30"/>
        <v>0</v>
      </c>
      <c r="K179" s="108">
        <f t="shared" si="24"/>
        <v>2027</v>
      </c>
      <c r="L179" s="92" t="str">
        <f t="shared" si="25"/>
        <v/>
      </c>
    </row>
    <row r="180" spans="1:12" ht="12.75" customHeight="1">
      <c r="A180" s="90" t="str">
        <f>IF(B180&lt;&gt;"",MAX(A$28:A179)+1,IF(ISNA(HLOOKUP(DATE(YEAR($C$21),MONTH(C180),DAY(C180)),$C$21:$N$21,1,0)),"",MAX(A$28:A179)+1))</f>
        <v/>
      </c>
      <c r="B180" s="91" t="str">
        <f>IF(C180&lt;$K$16,"",IF(ISNA(HLOOKUP(DATE(YEAR($C$20),MONTH($C180),DAY($C180)),$C$20:$N$20,1,0)),"",MAX(B$28:B179)+1))</f>
        <v/>
      </c>
      <c r="C180" s="106">
        <f t="shared" si="31"/>
        <v>46630</v>
      </c>
      <c r="D180" s="795">
        <f t="shared" si="26"/>
        <v>26867.371824947499</v>
      </c>
      <c r="E180" s="795" t="str">
        <f>IF($A180="","",IF($A180=1,D$29*$F180*($C180-$C$28)/$K$17,
(D180*ROUND(($C180-VLOOKUP($A180-1,$A$28:$C180,3,0))/30,0)/12*$F180)
))</f>
        <v/>
      </c>
      <c r="F180" s="107">
        <f t="shared" si="27"/>
        <v>0.06</v>
      </c>
      <c r="G180" s="795">
        <f t="shared" si="23"/>
        <v>0</v>
      </c>
      <c r="H180" s="795">
        <f t="shared" si="28"/>
        <v>0</v>
      </c>
      <c r="I180" s="795">
        <f t="shared" si="29"/>
        <v>0</v>
      </c>
      <c r="J180" s="795">
        <f t="shared" si="30"/>
        <v>0</v>
      </c>
      <c r="K180" s="108">
        <f t="shared" si="24"/>
        <v>2027</v>
      </c>
      <c r="L180" s="92" t="str">
        <f t="shared" si="25"/>
        <v/>
      </c>
    </row>
    <row r="181" spans="1:12" ht="12.75" customHeight="1">
      <c r="A181" s="90">
        <f>IF(B181&lt;&gt;"",MAX(A$28:A180)+1,IF(ISNA(HLOOKUP(DATE(YEAR($C$21),MONTH(C181),DAY(C181)),$C$21:$N$21,1,0)),"",MAX(A$28:A180)+1))</f>
        <v>51</v>
      </c>
      <c r="B181" s="91">
        <f>IF(C181&lt;$K$16,"",IF(ISNA(HLOOKUP(DATE(YEAR($C$20),MONTH($C181),DAY($C181)),$C$20:$N$20,1,0)),"",MAX(B$28:B180)+1))</f>
        <v>39</v>
      </c>
      <c r="C181" s="106">
        <f t="shared" si="31"/>
        <v>46660</v>
      </c>
      <c r="D181" s="795">
        <f t="shared" si="26"/>
        <v>26867.371824947499</v>
      </c>
      <c r="E181" s="795">
        <f>IF($A181="","",IF($A181=1,D$29*$F181*($C181-$C$28)/$K$17,
(D181*ROUND(($C181-VLOOKUP($A181-1,$A$28:$C181,3,0))/30,0)/12*$F181)
))</f>
        <v>403.0105773742124</v>
      </c>
      <c r="F181" s="107">
        <f t="shared" si="27"/>
        <v>0.06</v>
      </c>
      <c r="G181" s="795">
        <f t="shared" si="23"/>
        <v>761.41603425069627</v>
      </c>
      <c r="H181" s="795">
        <f t="shared" si="28"/>
        <v>717.64705882352939</v>
      </c>
      <c r="I181" s="795">
        <f t="shared" si="29"/>
        <v>761.41603425069627</v>
      </c>
      <c r="J181" s="795">
        <f t="shared" si="30"/>
        <v>1164.4266116249087</v>
      </c>
      <c r="K181" s="108">
        <f t="shared" si="24"/>
        <v>2027</v>
      </c>
      <c r="L181" s="92" t="str">
        <f t="shared" si="25"/>
        <v/>
      </c>
    </row>
    <row r="182" spans="1:12" ht="12.75" customHeight="1">
      <c r="A182" s="90" t="str">
        <f>IF(B182&lt;&gt;"",MAX(A$28:A181)+1,IF(ISNA(HLOOKUP(DATE(YEAR($C$21),MONTH(C182),DAY(C182)),$C$21:$N$21,1,0)),"",MAX(A$28:A181)+1))</f>
        <v/>
      </c>
      <c r="B182" s="91" t="str">
        <f>IF(C182&lt;$K$16,"",IF(ISNA(HLOOKUP(DATE(YEAR($C$20),MONTH($C182),DAY($C182)),$C$20:$N$20,1,0)),"",MAX(B$28:B181)+1))</f>
        <v/>
      </c>
      <c r="C182" s="106">
        <f t="shared" si="31"/>
        <v>46691</v>
      </c>
      <c r="D182" s="795">
        <f t="shared" si="26"/>
        <v>26105.955790696804</v>
      </c>
      <c r="E182" s="795" t="str">
        <f>IF($A182="","",IF($A182=1,D$29*$F182*($C182-$C$28)/$K$17,
(D182*ROUND(($C182-VLOOKUP($A182-1,$A$28:$C182,3,0))/30,0)/12*$F182)
))</f>
        <v/>
      </c>
      <c r="F182" s="107">
        <f t="shared" si="27"/>
        <v>0.06</v>
      </c>
      <c r="G182" s="795">
        <f t="shared" si="23"/>
        <v>0</v>
      </c>
      <c r="H182" s="795">
        <f t="shared" si="28"/>
        <v>0</v>
      </c>
      <c r="I182" s="795">
        <f t="shared" si="29"/>
        <v>0</v>
      </c>
      <c r="J182" s="795">
        <f t="shared" si="30"/>
        <v>0</v>
      </c>
      <c r="K182" s="108">
        <f t="shared" si="24"/>
        <v>2027</v>
      </c>
      <c r="L182" s="92" t="str">
        <f t="shared" si="25"/>
        <v/>
      </c>
    </row>
    <row r="183" spans="1:12" ht="12.75" customHeight="1">
      <c r="A183" s="90" t="str">
        <f>IF(B183&lt;&gt;"",MAX(A$28:A182)+1,IF(ISNA(HLOOKUP(DATE(YEAR($C$21),MONTH(C183),DAY(C183)),$C$21:$N$21,1,0)),"",MAX(A$28:A182)+1))</f>
        <v/>
      </c>
      <c r="B183" s="91" t="str">
        <f>IF(C183&lt;$K$16,"",IF(ISNA(HLOOKUP(DATE(YEAR($C$20),MONTH($C183),DAY($C183)),$C$20:$N$20,1,0)),"",MAX(B$28:B182)+1))</f>
        <v/>
      </c>
      <c r="C183" s="106">
        <f t="shared" si="31"/>
        <v>46721</v>
      </c>
      <c r="D183" s="795">
        <f t="shared" si="26"/>
        <v>26105.955790696804</v>
      </c>
      <c r="E183" s="795" t="str">
        <f>IF($A183="","",IF($A183=1,D$29*$F183*($C183-$C$28)/$K$17,
(D183*ROUND(($C183-VLOOKUP($A183-1,$A$28:$C183,3,0))/30,0)/12*$F183)
))</f>
        <v/>
      </c>
      <c r="F183" s="107">
        <f t="shared" si="27"/>
        <v>0.06</v>
      </c>
      <c r="G183" s="795">
        <f t="shared" si="23"/>
        <v>0</v>
      </c>
      <c r="H183" s="795">
        <f t="shared" si="28"/>
        <v>0</v>
      </c>
      <c r="I183" s="795">
        <f t="shared" si="29"/>
        <v>0</v>
      </c>
      <c r="J183" s="795">
        <f t="shared" si="30"/>
        <v>0</v>
      </c>
      <c r="K183" s="108">
        <f t="shared" si="24"/>
        <v>2027</v>
      </c>
      <c r="L183" s="92" t="str">
        <f t="shared" si="25"/>
        <v/>
      </c>
    </row>
    <row r="184" spans="1:12" ht="12.75" customHeight="1">
      <c r="A184" s="90">
        <f>IF(B184&lt;&gt;"",MAX(A$28:A183)+1,IF(ISNA(HLOOKUP(DATE(YEAR($C$21),MONTH(C184),DAY(C184)),$C$21:$N$21,1,0)),"",MAX(A$28:A183)+1))</f>
        <v>52</v>
      </c>
      <c r="B184" s="91">
        <f>IF(C184&lt;$K$16,"",IF(ISNA(HLOOKUP(DATE(YEAR($C$20),MONTH($C184),DAY($C184)),$C$20:$N$20,1,0)),"",MAX(B$28:B183)+1))</f>
        <v>40</v>
      </c>
      <c r="C184" s="106">
        <f t="shared" si="31"/>
        <v>46752</v>
      </c>
      <c r="D184" s="795">
        <f t="shared" si="26"/>
        <v>26105.955790696804</v>
      </c>
      <c r="E184" s="795">
        <f>IF($A184="","",IF($A184=1,D$29*$F184*($C184-$C$28)/$K$17,
(D184*ROUND(($C184-VLOOKUP($A184-1,$A$28:$C184,3,0))/30,0)/12*$F184)
))</f>
        <v>391.58933686045197</v>
      </c>
      <c r="F184" s="107">
        <f t="shared" si="27"/>
        <v>0.06</v>
      </c>
      <c r="G184" s="795">
        <f t="shared" si="23"/>
        <v>772.83727476445665</v>
      </c>
      <c r="H184" s="795">
        <f t="shared" si="28"/>
        <v>717.64705882352939</v>
      </c>
      <c r="I184" s="795">
        <f t="shared" si="29"/>
        <v>772.83727476445665</v>
      </c>
      <c r="J184" s="795">
        <f t="shared" si="30"/>
        <v>1164.4266116249087</v>
      </c>
      <c r="K184" s="108">
        <f t="shared" si="24"/>
        <v>2027</v>
      </c>
      <c r="L184" s="92" t="str">
        <f t="shared" si="25"/>
        <v/>
      </c>
    </row>
    <row r="185" spans="1:12" ht="12.75" customHeight="1">
      <c r="A185" s="90" t="str">
        <f>IF(B185&lt;&gt;"",MAX(A$28:A184)+1,IF(ISNA(HLOOKUP(DATE(YEAR($C$21),MONTH(C185),DAY(C185)),$C$21:$N$21,1,0)),"",MAX(A$28:A184)+1))</f>
        <v/>
      </c>
      <c r="B185" s="91" t="str">
        <f>IF(C185&lt;$K$16,"",IF(ISNA(HLOOKUP(DATE(YEAR($C$20),MONTH($C185),DAY($C185)),$C$20:$N$20,1,0)),"",MAX(B$28:B184)+1))</f>
        <v/>
      </c>
      <c r="C185" s="106">
        <f t="shared" si="31"/>
        <v>46783</v>
      </c>
      <c r="D185" s="795">
        <f t="shared" si="26"/>
        <v>25333.118515932347</v>
      </c>
      <c r="E185" s="795" t="str">
        <f>IF($A185="","",IF($A185=1,D$29*$F185*($C185-$C$28)/$K$17,
(D185*ROUND(($C185-VLOOKUP($A185-1,$A$28:$C185,3,0))/30,0)/12*$F185)
))</f>
        <v/>
      </c>
      <c r="F185" s="107">
        <f t="shared" si="27"/>
        <v>0.06</v>
      </c>
      <c r="G185" s="795">
        <f t="shared" si="23"/>
        <v>0</v>
      </c>
      <c r="H185" s="795">
        <f t="shared" si="28"/>
        <v>0</v>
      </c>
      <c r="I185" s="795">
        <f t="shared" si="29"/>
        <v>0</v>
      </c>
      <c r="J185" s="795">
        <f t="shared" si="30"/>
        <v>0</v>
      </c>
      <c r="K185" s="108">
        <f t="shared" si="24"/>
        <v>2028</v>
      </c>
      <c r="L185" s="92" t="str">
        <f t="shared" si="25"/>
        <v/>
      </c>
    </row>
    <row r="186" spans="1:12" ht="12.75" customHeight="1">
      <c r="A186" s="90" t="str">
        <f>IF(B186&lt;&gt;"",MAX(A$28:A185)+1,IF(ISNA(HLOOKUP(DATE(YEAR($C$21),MONTH(C186),DAY(C186)),$C$21:$N$21,1,0)),"",MAX(A$28:A185)+1))</f>
        <v/>
      </c>
      <c r="B186" s="91" t="str">
        <f>IF(C186&lt;$K$16,"",IF(ISNA(HLOOKUP(DATE(YEAR($C$20),MONTH($C186),DAY($C186)),$C$20:$N$20,1,0)),"",MAX(B$28:B185)+1))</f>
        <v/>
      </c>
      <c r="C186" s="106">
        <f t="shared" si="31"/>
        <v>46812</v>
      </c>
      <c r="D186" s="795">
        <f t="shared" si="26"/>
        <v>25333.118515932347</v>
      </c>
      <c r="E186" s="795" t="str">
        <f>IF($A186="","",IF($A186=1,D$29*$F186*($C186-$C$28)/$K$17,
(D186*ROUND(($C186-VLOOKUP($A186-1,$A$28:$C186,3,0))/30,0)/12*$F186)
))</f>
        <v/>
      </c>
      <c r="F186" s="107">
        <f t="shared" si="27"/>
        <v>0.06</v>
      </c>
      <c r="G186" s="795">
        <f t="shared" si="23"/>
        <v>0</v>
      </c>
      <c r="H186" s="795">
        <f t="shared" si="28"/>
        <v>0</v>
      </c>
      <c r="I186" s="795">
        <f t="shared" si="29"/>
        <v>0</v>
      </c>
      <c r="J186" s="795">
        <f t="shared" si="30"/>
        <v>0</v>
      </c>
      <c r="K186" s="108">
        <f t="shared" si="24"/>
        <v>2028</v>
      </c>
      <c r="L186" s="92" t="str">
        <f t="shared" si="25"/>
        <v/>
      </c>
    </row>
    <row r="187" spans="1:12" ht="12.75" customHeight="1">
      <c r="A187" s="90">
        <f>IF(B187&lt;&gt;"",MAX(A$28:A186)+1,IF(ISNA(HLOOKUP(DATE(YEAR($C$21),MONTH(C187),DAY(C187)),$C$21:$N$21,1,0)),"",MAX(A$28:A186)+1))</f>
        <v>53</v>
      </c>
      <c r="B187" s="91">
        <f>IF(C187&lt;$K$16,"",IF(ISNA(HLOOKUP(DATE(YEAR($C$20),MONTH($C187),DAY($C187)),$C$20:$N$20,1,0)),"",MAX(B$28:B186)+1))</f>
        <v>41</v>
      </c>
      <c r="C187" s="106">
        <f t="shared" si="31"/>
        <v>46843</v>
      </c>
      <c r="D187" s="795">
        <f t="shared" si="26"/>
        <v>25333.118515932347</v>
      </c>
      <c r="E187" s="795">
        <f>IF($A187="","",IF($A187=1,D$29*$F187*($C187-$C$28)/$K$17,
(D187*ROUND(($C187-VLOOKUP($A187-1,$A$28:$C187,3,0))/30,0)/12*$F187)
))</f>
        <v>379.9967777389852</v>
      </c>
      <c r="F187" s="107">
        <f t="shared" si="27"/>
        <v>0.06</v>
      </c>
      <c r="G187" s="795">
        <f t="shared" si="23"/>
        <v>784.42983388592347</v>
      </c>
      <c r="H187" s="795">
        <f t="shared" si="28"/>
        <v>717.64705882352939</v>
      </c>
      <c r="I187" s="795">
        <f t="shared" si="29"/>
        <v>784.42983388592347</v>
      </c>
      <c r="J187" s="795">
        <f t="shared" si="30"/>
        <v>1164.4266116249087</v>
      </c>
      <c r="K187" s="108">
        <f t="shared" si="24"/>
        <v>2028</v>
      </c>
      <c r="L187" s="92" t="str">
        <f t="shared" si="25"/>
        <v/>
      </c>
    </row>
    <row r="188" spans="1:12" ht="12.75" customHeight="1">
      <c r="A188" s="90" t="str">
        <f>IF(B188&lt;&gt;"",MAX(A$28:A187)+1,IF(ISNA(HLOOKUP(DATE(YEAR($C$21),MONTH(C188),DAY(C188)),$C$21:$N$21,1,0)),"",MAX(A$28:A187)+1))</f>
        <v/>
      </c>
      <c r="B188" s="91" t="str">
        <f>IF(C188&lt;$K$16,"",IF(ISNA(HLOOKUP(DATE(YEAR($C$20),MONTH($C188),DAY($C188)),$C$20:$N$20,1,0)),"",MAX(B$28:B187)+1))</f>
        <v/>
      </c>
      <c r="C188" s="106">
        <f t="shared" si="31"/>
        <v>46873</v>
      </c>
      <c r="D188" s="795">
        <f t="shared" si="26"/>
        <v>24548.688682046424</v>
      </c>
      <c r="E188" s="795" t="str">
        <f>IF($A188="","",IF($A188=1,D$29*$F188*($C188-$C$28)/$K$17,
(D188*ROUND(($C188-VLOOKUP($A188-1,$A$28:$C188,3,0))/30,0)/12*$F188)
))</f>
        <v/>
      </c>
      <c r="F188" s="107">
        <f t="shared" si="27"/>
        <v>0.06</v>
      </c>
      <c r="G188" s="795">
        <f t="shared" si="23"/>
        <v>0</v>
      </c>
      <c r="H188" s="795">
        <f t="shared" si="28"/>
        <v>0</v>
      </c>
      <c r="I188" s="795">
        <f t="shared" si="29"/>
        <v>0</v>
      </c>
      <c r="J188" s="795">
        <f t="shared" si="30"/>
        <v>0</v>
      </c>
      <c r="K188" s="108">
        <f t="shared" si="24"/>
        <v>2028</v>
      </c>
      <c r="L188" s="92" t="str">
        <f t="shared" si="25"/>
        <v/>
      </c>
    </row>
    <row r="189" spans="1:12" ht="12.75" customHeight="1">
      <c r="A189" s="90" t="str">
        <f>IF(B189&lt;&gt;"",MAX(A$28:A188)+1,IF(ISNA(HLOOKUP(DATE(YEAR($C$21),MONTH(C189),DAY(C189)),$C$21:$N$21,1,0)),"",MAX(A$28:A188)+1))</f>
        <v/>
      </c>
      <c r="B189" s="91" t="str">
        <f>IF(C189&lt;$K$16,"",IF(ISNA(HLOOKUP(DATE(YEAR($C$20),MONTH($C189),DAY($C189)),$C$20:$N$20,1,0)),"",MAX(B$28:B188)+1))</f>
        <v/>
      </c>
      <c r="C189" s="106">
        <f t="shared" si="31"/>
        <v>46904</v>
      </c>
      <c r="D189" s="795">
        <f t="shared" si="26"/>
        <v>24548.688682046424</v>
      </c>
      <c r="E189" s="795" t="str">
        <f>IF($A189="","",IF($A189=1,D$29*$F189*($C189-$C$28)/$K$17,
(D189*ROUND(($C189-VLOOKUP($A189-1,$A$28:$C189,3,0))/30,0)/12*$F189)
))</f>
        <v/>
      </c>
      <c r="F189" s="107">
        <f t="shared" si="27"/>
        <v>0.06</v>
      </c>
      <c r="G189" s="795">
        <f t="shared" si="23"/>
        <v>0</v>
      </c>
      <c r="H189" s="795">
        <f t="shared" si="28"/>
        <v>0</v>
      </c>
      <c r="I189" s="795">
        <f t="shared" si="29"/>
        <v>0</v>
      </c>
      <c r="J189" s="795">
        <f t="shared" si="30"/>
        <v>0</v>
      </c>
      <c r="K189" s="108">
        <f t="shared" si="24"/>
        <v>2028</v>
      </c>
      <c r="L189" s="92" t="str">
        <f t="shared" si="25"/>
        <v/>
      </c>
    </row>
    <row r="190" spans="1:12" ht="12.75" customHeight="1">
      <c r="A190" s="90">
        <f>IF(B190&lt;&gt;"",MAX(A$28:A189)+1,IF(ISNA(HLOOKUP(DATE(YEAR($C$21),MONTH(C190),DAY(C190)),$C$21:$N$21,1,0)),"",MAX(A$28:A189)+1))</f>
        <v>54</v>
      </c>
      <c r="B190" s="91">
        <f>IF(C190&lt;$K$16,"",IF(ISNA(HLOOKUP(DATE(YEAR($C$20),MONTH($C190),DAY($C190)),$C$20:$N$20,1,0)),"",MAX(B$28:B189)+1))</f>
        <v>42</v>
      </c>
      <c r="C190" s="106">
        <f t="shared" si="31"/>
        <v>46934</v>
      </c>
      <c r="D190" s="795">
        <f t="shared" si="26"/>
        <v>24548.688682046424</v>
      </c>
      <c r="E190" s="795">
        <f>IF($A190="","",IF($A190=1,D$29*$F190*($C190-$C$28)/$K$17,
(D190*ROUND(($C190-VLOOKUP($A190-1,$A$28:$C190,3,0))/30,0)/12*$F190)
))</f>
        <v>368.23033023069632</v>
      </c>
      <c r="F190" s="107">
        <f t="shared" si="27"/>
        <v>0.06</v>
      </c>
      <c r="G190" s="795">
        <f t="shared" si="23"/>
        <v>796.19628139421229</v>
      </c>
      <c r="H190" s="795">
        <f t="shared" si="28"/>
        <v>717.64705882352939</v>
      </c>
      <c r="I190" s="795">
        <f t="shared" si="29"/>
        <v>796.19628139421229</v>
      </c>
      <c r="J190" s="795">
        <f t="shared" si="30"/>
        <v>1164.4266116249087</v>
      </c>
      <c r="K190" s="108">
        <f t="shared" si="24"/>
        <v>2028</v>
      </c>
      <c r="L190" s="92" t="str">
        <f t="shared" si="25"/>
        <v/>
      </c>
    </row>
    <row r="191" spans="1:12" ht="12.75" customHeight="1">
      <c r="A191" s="90" t="str">
        <f>IF(B191&lt;&gt;"",MAX(A$28:A190)+1,IF(ISNA(HLOOKUP(DATE(YEAR($C$21),MONTH(C191),DAY(C191)),$C$21:$N$21,1,0)),"",MAX(A$28:A190)+1))</f>
        <v/>
      </c>
      <c r="B191" s="91" t="str">
        <f>IF(C191&lt;$K$16,"",IF(ISNA(HLOOKUP(DATE(YEAR($C$20),MONTH($C191),DAY($C191)),$C$20:$N$20,1,0)),"",MAX(B$28:B190)+1))</f>
        <v/>
      </c>
      <c r="C191" s="106">
        <f t="shared" si="31"/>
        <v>46965</v>
      </c>
      <c r="D191" s="795">
        <f t="shared" si="26"/>
        <v>23752.492400652212</v>
      </c>
      <c r="E191" s="795" t="str">
        <f>IF($A191="","",IF($A191=1,D$29*$F191*($C191-$C$28)/$K$17,
(D191*ROUND(($C191-VLOOKUP($A191-1,$A$28:$C191,3,0))/30,0)/12*$F191)
))</f>
        <v/>
      </c>
      <c r="F191" s="107">
        <f t="shared" si="27"/>
        <v>0.06</v>
      </c>
      <c r="G191" s="795">
        <f t="shared" si="23"/>
        <v>0</v>
      </c>
      <c r="H191" s="795">
        <f t="shared" si="28"/>
        <v>0</v>
      </c>
      <c r="I191" s="795">
        <f t="shared" si="29"/>
        <v>0</v>
      </c>
      <c r="J191" s="795">
        <f t="shared" si="30"/>
        <v>0</v>
      </c>
      <c r="K191" s="108">
        <f t="shared" si="24"/>
        <v>2028</v>
      </c>
      <c r="L191" s="92" t="str">
        <f t="shared" si="25"/>
        <v/>
      </c>
    </row>
    <row r="192" spans="1:12" ht="12.75" customHeight="1">
      <c r="A192" s="90" t="str">
        <f>IF(B192&lt;&gt;"",MAX(A$28:A191)+1,IF(ISNA(HLOOKUP(DATE(YEAR($C$21),MONTH(C192),DAY(C192)),$C$21:$N$21,1,0)),"",MAX(A$28:A191)+1))</f>
        <v/>
      </c>
      <c r="B192" s="91" t="str">
        <f>IF(C192&lt;$K$16,"",IF(ISNA(HLOOKUP(DATE(YEAR($C$20),MONTH($C192),DAY($C192)),$C$20:$N$20,1,0)),"",MAX(B$28:B191)+1))</f>
        <v/>
      </c>
      <c r="C192" s="106">
        <f t="shared" si="31"/>
        <v>46996</v>
      </c>
      <c r="D192" s="795">
        <f t="shared" si="26"/>
        <v>23752.492400652212</v>
      </c>
      <c r="E192" s="795" t="str">
        <f>IF($A192="","",IF($A192=1,D$29*$F192*($C192-$C$28)/$K$17,
(D192*ROUND(($C192-VLOOKUP($A192-1,$A$28:$C192,3,0))/30,0)/12*$F192)
))</f>
        <v/>
      </c>
      <c r="F192" s="107">
        <f t="shared" si="27"/>
        <v>0.06</v>
      </c>
      <c r="G192" s="795">
        <f t="shared" si="23"/>
        <v>0</v>
      </c>
      <c r="H192" s="795">
        <f t="shared" si="28"/>
        <v>0</v>
      </c>
      <c r="I192" s="795">
        <f t="shared" si="29"/>
        <v>0</v>
      </c>
      <c r="J192" s="795">
        <f t="shared" si="30"/>
        <v>0</v>
      </c>
      <c r="K192" s="108">
        <f t="shared" si="24"/>
        <v>2028</v>
      </c>
      <c r="L192" s="92" t="str">
        <f t="shared" si="25"/>
        <v/>
      </c>
    </row>
    <row r="193" spans="1:12" ht="12.75" customHeight="1">
      <c r="A193" s="90">
        <f>IF(B193&lt;&gt;"",MAX(A$28:A192)+1,IF(ISNA(HLOOKUP(DATE(YEAR($C$21),MONTH(C193),DAY(C193)),$C$21:$N$21,1,0)),"",MAX(A$28:A192)+1))</f>
        <v>55</v>
      </c>
      <c r="B193" s="91">
        <f>IF(C193&lt;$K$16,"",IF(ISNA(HLOOKUP(DATE(YEAR($C$20),MONTH($C193),DAY($C193)),$C$20:$N$20,1,0)),"",MAX(B$28:B192)+1))</f>
        <v>43</v>
      </c>
      <c r="C193" s="106">
        <f t="shared" si="31"/>
        <v>47026</v>
      </c>
      <c r="D193" s="795">
        <f t="shared" si="26"/>
        <v>23752.492400652212</v>
      </c>
      <c r="E193" s="795">
        <f>IF($A193="","",IF($A193=1,D$29*$F193*($C193-$C$28)/$K$17,
(D193*ROUND(($C193-VLOOKUP($A193-1,$A$28:$C193,3,0))/30,0)/12*$F193)
))</f>
        <v>356.28738600978323</v>
      </c>
      <c r="F193" s="107">
        <f t="shared" si="27"/>
        <v>0.06</v>
      </c>
      <c r="G193" s="795">
        <f t="shared" si="23"/>
        <v>808.1392256151255</v>
      </c>
      <c r="H193" s="795">
        <f t="shared" si="28"/>
        <v>717.64705882352939</v>
      </c>
      <c r="I193" s="795">
        <f t="shared" si="29"/>
        <v>808.1392256151255</v>
      </c>
      <c r="J193" s="795">
        <f t="shared" si="30"/>
        <v>1164.4266116249087</v>
      </c>
      <c r="K193" s="108">
        <f t="shared" si="24"/>
        <v>2028</v>
      </c>
      <c r="L193" s="92" t="str">
        <f t="shared" si="25"/>
        <v/>
      </c>
    </row>
    <row r="194" spans="1:12" ht="12.75" customHeight="1">
      <c r="A194" s="90" t="str">
        <f>IF(B194&lt;&gt;"",MAX(A$28:A193)+1,IF(ISNA(HLOOKUP(DATE(YEAR($C$21),MONTH(C194),DAY(C194)),$C$21:$N$21,1,0)),"",MAX(A$28:A193)+1))</f>
        <v/>
      </c>
      <c r="B194" s="91" t="str">
        <f>IF(C194&lt;$K$16,"",IF(ISNA(HLOOKUP(DATE(YEAR($C$20),MONTH($C194),DAY($C194)),$C$20:$N$20,1,0)),"",MAX(B$28:B193)+1))</f>
        <v/>
      </c>
      <c r="C194" s="106">
        <f t="shared" si="31"/>
        <v>47057</v>
      </c>
      <c r="D194" s="795">
        <f t="shared" si="26"/>
        <v>22944.353175037086</v>
      </c>
      <c r="E194" s="795" t="str">
        <f>IF($A194="","",IF($A194=1,D$29*$F194*($C194-$C$28)/$K$17,
(D194*ROUND(($C194-VLOOKUP($A194-1,$A$28:$C194,3,0))/30,0)/12*$F194)
))</f>
        <v/>
      </c>
      <c r="F194" s="107">
        <f t="shared" si="27"/>
        <v>0.06</v>
      </c>
      <c r="G194" s="795">
        <f t="shared" si="23"/>
        <v>0</v>
      </c>
      <c r="H194" s="795">
        <f t="shared" si="28"/>
        <v>0</v>
      </c>
      <c r="I194" s="795">
        <f t="shared" si="29"/>
        <v>0</v>
      </c>
      <c r="J194" s="795">
        <f t="shared" si="30"/>
        <v>0</v>
      </c>
      <c r="K194" s="108">
        <f t="shared" si="24"/>
        <v>2028</v>
      </c>
      <c r="L194" s="92" t="str">
        <f t="shared" si="25"/>
        <v/>
      </c>
    </row>
    <row r="195" spans="1:12" ht="12.75" customHeight="1">
      <c r="A195" s="90" t="str">
        <f>IF(B195&lt;&gt;"",MAX(A$28:A194)+1,IF(ISNA(HLOOKUP(DATE(YEAR($C$21),MONTH(C195),DAY(C195)),$C$21:$N$21,1,0)),"",MAX(A$28:A194)+1))</f>
        <v/>
      </c>
      <c r="B195" s="91" t="str">
        <f>IF(C195&lt;$K$16,"",IF(ISNA(HLOOKUP(DATE(YEAR($C$20),MONTH($C195),DAY($C195)),$C$20:$N$20,1,0)),"",MAX(B$28:B194)+1))</f>
        <v/>
      </c>
      <c r="C195" s="106">
        <f t="shared" si="31"/>
        <v>47087</v>
      </c>
      <c r="D195" s="795">
        <f t="shared" si="26"/>
        <v>22944.353175037086</v>
      </c>
      <c r="E195" s="795" t="str">
        <f>IF($A195="","",IF($A195=1,D$29*$F195*($C195-$C$28)/$K$17,
(D195*ROUND(($C195-VLOOKUP($A195-1,$A$28:$C195,3,0))/30,0)/12*$F195)
))</f>
        <v/>
      </c>
      <c r="F195" s="107">
        <f t="shared" si="27"/>
        <v>0.06</v>
      </c>
      <c r="G195" s="795">
        <f t="shared" si="23"/>
        <v>0</v>
      </c>
      <c r="H195" s="795">
        <f t="shared" si="28"/>
        <v>0</v>
      </c>
      <c r="I195" s="795">
        <f t="shared" si="29"/>
        <v>0</v>
      </c>
      <c r="J195" s="795">
        <f t="shared" si="30"/>
        <v>0</v>
      </c>
      <c r="K195" s="108">
        <f t="shared" si="24"/>
        <v>2028</v>
      </c>
      <c r="L195" s="92" t="str">
        <f t="shared" si="25"/>
        <v/>
      </c>
    </row>
    <row r="196" spans="1:12" ht="12.75" customHeight="1">
      <c r="A196" s="90">
        <f>IF(B196&lt;&gt;"",MAX(A$28:A195)+1,IF(ISNA(HLOOKUP(DATE(YEAR($C$21),MONTH(C196),DAY(C196)),$C$21:$N$21,1,0)),"",MAX(A$28:A195)+1))</f>
        <v>56</v>
      </c>
      <c r="B196" s="91">
        <f>IF(C196&lt;$K$16,"",IF(ISNA(HLOOKUP(DATE(YEAR($C$20),MONTH($C196),DAY($C196)),$C$20:$N$20,1,0)),"",MAX(B$28:B195)+1))</f>
        <v>44</v>
      </c>
      <c r="C196" s="106">
        <f t="shared" si="31"/>
        <v>47118</v>
      </c>
      <c r="D196" s="795">
        <f t="shared" si="26"/>
        <v>22944.353175037086</v>
      </c>
      <c r="E196" s="795">
        <f>IF($A196="","",IF($A196=1,D$29*$F196*($C196-$C$28)/$K$17,
(D196*ROUND(($C196-VLOOKUP($A196-1,$A$28:$C196,3,0))/30,0)/12*$F196)
))</f>
        <v>344.16529762555626</v>
      </c>
      <c r="F196" s="107">
        <f t="shared" si="27"/>
        <v>0.06</v>
      </c>
      <c r="G196" s="795">
        <f t="shared" si="23"/>
        <v>820.26131399935241</v>
      </c>
      <c r="H196" s="795">
        <f t="shared" si="28"/>
        <v>717.64705882352939</v>
      </c>
      <c r="I196" s="795">
        <f t="shared" si="29"/>
        <v>820.26131399935241</v>
      </c>
      <c r="J196" s="795">
        <f t="shared" si="30"/>
        <v>1164.4266116249087</v>
      </c>
      <c r="K196" s="108">
        <f t="shared" si="24"/>
        <v>2028</v>
      </c>
      <c r="L196" s="92" t="str">
        <f t="shared" si="25"/>
        <v/>
      </c>
    </row>
    <row r="197" spans="1:12" ht="12.75" customHeight="1">
      <c r="A197" s="90" t="str">
        <f>IF(B197&lt;&gt;"",MAX(A$28:A196)+1,IF(ISNA(HLOOKUP(DATE(YEAR($C$21),MONTH(C197),DAY(C197)),$C$21:$N$21,1,0)),"",MAX(A$28:A196)+1))</f>
        <v/>
      </c>
      <c r="B197" s="91" t="str">
        <f>IF(C197&lt;$K$16,"",IF(ISNA(HLOOKUP(DATE(YEAR($C$20),MONTH($C197),DAY($C197)),$C$20:$N$20,1,0)),"",MAX(B$28:B196)+1))</f>
        <v/>
      </c>
      <c r="C197" s="106">
        <f t="shared" si="31"/>
        <v>47149</v>
      </c>
      <c r="D197" s="795">
        <f t="shared" si="26"/>
        <v>22124.091861037734</v>
      </c>
      <c r="E197" s="795" t="str">
        <f>IF($A197="","",IF($A197=1,D$29*$F197*($C197-$C$28)/$K$17,
(D197*ROUND(($C197-VLOOKUP($A197-1,$A$28:$C197,3,0))/30,0)/12*$F197)
))</f>
        <v/>
      </c>
      <c r="F197" s="107">
        <f t="shared" si="27"/>
        <v>0.06</v>
      </c>
      <c r="G197" s="795">
        <f t="shared" si="23"/>
        <v>0</v>
      </c>
      <c r="H197" s="795">
        <f t="shared" si="28"/>
        <v>0</v>
      </c>
      <c r="I197" s="795">
        <f t="shared" si="29"/>
        <v>0</v>
      </c>
      <c r="J197" s="795">
        <f t="shared" si="30"/>
        <v>0</v>
      </c>
      <c r="K197" s="108">
        <f t="shared" si="24"/>
        <v>2029</v>
      </c>
      <c r="L197" s="92" t="str">
        <f t="shared" si="25"/>
        <v/>
      </c>
    </row>
    <row r="198" spans="1:12" ht="12.75" customHeight="1">
      <c r="A198" s="90" t="str">
        <f>IF(B198&lt;&gt;"",MAX(A$28:A197)+1,IF(ISNA(HLOOKUP(DATE(YEAR($C$21),MONTH(C198),DAY(C198)),$C$21:$N$21,1,0)),"",MAX(A$28:A197)+1))</f>
        <v/>
      </c>
      <c r="B198" s="91" t="str">
        <f>IF(C198&lt;$K$16,"",IF(ISNA(HLOOKUP(DATE(YEAR($C$20),MONTH($C198),DAY($C198)),$C$20:$N$20,1,0)),"",MAX(B$28:B197)+1))</f>
        <v/>
      </c>
      <c r="C198" s="106">
        <f t="shared" si="31"/>
        <v>47177</v>
      </c>
      <c r="D198" s="795">
        <f t="shared" si="26"/>
        <v>22124.091861037734</v>
      </c>
      <c r="E198" s="795" t="str">
        <f>IF($A198="","",IF($A198=1,D$29*$F198*($C198-$C$28)/$K$17,
(D198*ROUND(($C198-VLOOKUP($A198-1,$A$28:$C198,3,0))/30,0)/12*$F198)
))</f>
        <v/>
      </c>
      <c r="F198" s="107">
        <f t="shared" si="27"/>
        <v>0.06</v>
      </c>
      <c r="G198" s="795">
        <f t="shared" si="23"/>
        <v>0</v>
      </c>
      <c r="H198" s="795">
        <f t="shared" si="28"/>
        <v>0</v>
      </c>
      <c r="I198" s="795">
        <f t="shared" si="29"/>
        <v>0</v>
      </c>
      <c r="J198" s="795">
        <f t="shared" si="30"/>
        <v>0</v>
      </c>
      <c r="K198" s="108">
        <f t="shared" si="24"/>
        <v>2029</v>
      </c>
      <c r="L198" s="92" t="str">
        <f t="shared" si="25"/>
        <v/>
      </c>
    </row>
    <row r="199" spans="1:12" ht="12.75" customHeight="1">
      <c r="A199" s="90">
        <f>IF(B199&lt;&gt;"",MAX(A$28:A198)+1,IF(ISNA(HLOOKUP(DATE(YEAR($C$21),MONTH(C199),DAY(C199)),$C$21:$N$21,1,0)),"",MAX(A$28:A198)+1))</f>
        <v>57</v>
      </c>
      <c r="B199" s="91">
        <f>IF(C199&lt;$K$16,"",IF(ISNA(HLOOKUP(DATE(YEAR($C$20),MONTH($C199),DAY($C199)),$C$20:$N$20,1,0)),"",MAX(B$28:B198)+1))</f>
        <v>45</v>
      </c>
      <c r="C199" s="106">
        <f t="shared" si="31"/>
        <v>47208</v>
      </c>
      <c r="D199" s="795">
        <f t="shared" si="26"/>
        <v>22124.091861037734</v>
      </c>
      <c r="E199" s="795">
        <f>IF($A199="","",IF($A199=1,D$29*$F199*($C199-$C$28)/$K$17,
(D199*ROUND(($C199-VLOOKUP($A199-1,$A$28:$C199,3,0))/30,0)/12*$F199)
))</f>
        <v>331.86137791556592</v>
      </c>
      <c r="F199" s="107">
        <f t="shared" si="27"/>
        <v>0.06</v>
      </c>
      <c r="G199" s="795">
        <f t="shared" si="23"/>
        <v>832.56523370934269</v>
      </c>
      <c r="H199" s="795">
        <f t="shared" si="28"/>
        <v>717.64705882352939</v>
      </c>
      <c r="I199" s="795">
        <f t="shared" si="29"/>
        <v>832.56523370934269</v>
      </c>
      <c r="J199" s="795">
        <f t="shared" si="30"/>
        <v>1164.4266116249087</v>
      </c>
      <c r="K199" s="108">
        <f t="shared" si="24"/>
        <v>2029</v>
      </c>
      <c r="L199" s="92" t="str">
        <f t="shared" si="25"/>
        <v/>
      </c>
    </row>
    <row r="200" spans="1:12" ht="12.75" customHeight="1">
      <c r="A200" s="90" t="str">
        <f>IF(B200&lt;&gt;"",MAX(A$28:A199)+1,IF(ISNA(HLOOKUP(DATE(YEAR($C$21),MONTH(C200),DAY(C200)),$C$21:$N$21,1,0)),"",MAX(A$28:A199)+1))</f>
        <v/>
      </c>
      <c r="B200" s="91" t="str">
        <f>IF(C200&lt;$K$16,"",IF(ISNA(HLOOKUP(DATE(YEAR($C$20),MONTH($C200),DAY($C200)),$C$20:$N$20,1,0)),"",MAX(B$28:B199)+1))</f>
        <v/>
      </c>
      <c r="C200" s="106">
        <f t="shared" si="31"/>
        <v>47238</v>
      </c>
      <c r="D200" s="795">
        <f t="shared" si="26"/>
        <v>21291.526627328392</v>
      </c>
      <c r="E200" s="795" t="str">
        <f>IF($A200="","",IF($A200=1,D$29*$F200*($C200-$C$28)/$K$17,
(D200*ROUND(($C200-VLOOKUP($A200-1,$A$28:$C200,3,0))/30,0)/12*$F200)
))</f>
        <v/>
      </c>
      <c r="F200" s="107">
        <f t="shared" si="27"/>
        <v>0.06</v>
      </c>
      <c r="G200" s="795">
        <f t="shared" si="23"/>
        <v>0</v>
      </c>
      <c r="H200" s="795">
        <f t="shared" si="28"/>
        <v>0</v>
      </c>
      <c r="I200" s="795">
        <f t="shared" si="29"/>
        <v>0</v>
      </c>
      <c r="J200" s="795">
        <f t="shared" si="30"/>
        <v>0</v>
      </c>
      <c r="K200" s="108">
        <f t="shared" si="24"/>
        <v>2029</v>
      </c>
      <c r="L200" s="92" t="str">
        <f t="shared" si="25"/>
        <v/>
      </c>
    </row>
    <row r="201" spans="1:12" ht="12.75" customHeight="1">
      <c r="A201" s="90" t="str">
        <f>IF(B201&lt;&gt;"",MAX(A$28:A200)+1,IF(ISNA(HLOOKUP(DATE(YEAR($C$21),MONTH(C201),DAY(C201)),$C$21:$N$21,1,0)),"",MAX(A$28:A200)+1))</f>
        <v/>
      </c>
      <c r="B201" s="91" t="str">
        <f>IF(C201&lt;$K$16,"",IF(ISNA(HLOOKUP(DATE(YEAR($C$20),MONTH($C201),DAY($C201)),$C$20:$N$20,1,0)),"",MAX(B$28:B200)+1))</f>
        <v/>
      </c>
      <c r="C201" s="106">
        <f t="shared" si="31"/>
        <v>47269</v>
      </c>
      <c r="D201" s="795">
        <f t="shared" si="26"/>
        <v>21291.526627328392</v>
      </c>
      <c r="E201" s="795" t="str">
        <f>IF($A201="","",IF($A201=1,D$29*$F201*($C201-$C$28)/$K$17,
(D201*ROUND(($C201-VLOOKUP($A201-1,$A$28:$C201,3,0))/30,0)/12*$F201)
))</f>
        <v/>
      </c>
      <c r="F201" s="107">
        <f t="shared" si="27"/>
        <v>0.06</v>
      </c>
      <c r="G201" s="795">
        <f t="shared" si="23"/>
        <v>0</v>
      </c>
      <c r="H201" s="795">
        <f t="shared" si="28"/>
        <v>0</v>
      </c>
      <c r="I201" s="795">
        <f t="shared" si="29"/>
        <v>0</v>
      </c>
      <c r="J201" s="795">
        <f t="shared" si="30"/>
        <v>0</v>
      </c>
      <c r="K201" s="108">
        <f t="shared" si="24"/>
        <v>2029</v>
      </c>
      <c r="L201" s="92" t="str">
        <f t="shared" si="25"/>
        <v/>
      </c>
    </row>
    <row r="202" spans="1:12" ht="12.75" customHeight="1">
      <c r="A202" s="90">
        <f>IF(B202&lt;&gt;"",MAX(A$28:A201)+1,IF(ISNA(HLOOKUP(DATE(YEAR($C$21),MONTH(C202),DAY(C202)),$C$21:$N$21,1,0)),"",MAX(A$28:A201)+1))</f>
        <v>58</v>
      </c>
      <c r="B202" s="91">
        <f>IF(C202&lt;$K$16,"",IF(ISNA(HLOOKUP(DATE(YEAR($C$20),MONTH($C202),DAY($C202)),$C$20:$N$20,1,0)),"",MAX(B$28:B201)+1))</f>
        <v>46</v>
      </c>
      <c r="C202" s="106">
        <f t="shared" si="31"/>
        <v>47299</v>
      </c>
      <c r="D202" s="795">
        <f t="shared" si="26"/>
        <v>21291.526627328392</v>
      </c>
      <c r="E202" s="795">
        <f>IF($A202="","",IF($A202=1,D$29*$F202*($C202-$C$28)/$K$17,
(D202*ROUND(($C202-VLOOKUP($A202-1,$A$28:$C202,3,0))/30,0)/12*$F202)
))</f>
        <v>319.37289940992588</v>
      </c>
      <c r="F202" s="107">
        <f t="shared" si="27"/>
        <v>0.06</v>
      </c>
      <c r="G202" s="795">
        <f t="shared" si="23"/>
        <v>845.05371221498285</v>
      </c>
      <c r="H202" s="795">
        <f t="shared" si="28"/>
        <v>717.64705882352939</v>
      </c>
      <c r="I202" s="795">
        <f t="shared" si="29"/>
        <v>845.05371221498285</v>
      </c>
      <c r="J202" s="795">
        <f t="shared" si="30"/>
        <v>1164.4266116249087</v>
      </c>
      <c r="K202" s="108">
        <f t="shared" si="24"/>
        <v>2029</v>
      </c>
      <c r="L202" s="92" t="str">
        <f t="shared" si="25"/>
        <v/>
      </c>
    </row>
    <row r="203" spans="1:12" ht="12.75" customHeight="1">
      <c r="A203" s="90" t="str">
        <f>IF(B203&lt;&gt;"",MAX(A$28:A202)+1,IF(ISNA(HLOOKUP(DATE(YEAR($C$21),MONTH(C203),DAY(C203)),$C$21:$N$21,1,0)),"",MAX(A$28:A202)+1))</f>
        <v/>
      </c>
      <c r="B203" s="91" t="str">
        <f>IF(C203&lt;$K$16,"",IF(ISNA(HLOOKUP(DATE(YEAR($C$20),MONTH($C203),DAY($C203)),$C$20:$N$20,1,0)),"",MAX(B$28:B202)+1))</f>
        <v/>
      </c>
      <c r="C203" s="106">
        <f t="shared" si="31"/>
        <v>47330</v>
      </c>
      <c r="D203" s="795">
        <f t="shared" si="26"/>
        <v>20446.472915113409</v>
      </c>
      <c r="E203" s="795" t="str">
        <f>IF($A203="","",IF($A203=1,D$29*$F203*($C203-$C$28)/$K$17,
(D203*ROUND(($C203-VLOOKUP($A203-1,$A$28:$C203,3,0))/30,0)/12*$F203)
))</f>
        <v/>
      </c>
      <c r="F203" s="107">
        <f t="shared" si="27"/>
        <v>0.06</v>
      </c>
      <c r="G203" s="795">
        <f t="shared" si="23"/>
        <v>0</v>
      </c>
      <c r="H203" s="795">
        <f t="shared" si="28"/>
        <v>0</v>
      </c>
      <c r="I203" s="795">
        <f t="shared" si="29"/>
        <v>0</v>
      </c>
      <c r="J203" s="795">
        <f t="shared" si="30"/>
        <v>0</v>
      </c>
      <c r="K203" s="108">
        <f t="shared" si="24"/>
        <v>2029</v>
      </c>
      <c r="L203" s="92" t="str">
        <f t="shared" si="25"/>
        <v/>
      </c>
    </row>
    <row r="204" spans="1:12" ht="12.75" customHeight="1">
      <c r="A204" s="90" t="str">
        <f>IF(B204&lt;&gt;"",MAX(A$28:A203)+1,IF(ISNA(HLOOKUP(DATE(YEAR($C$21),MONTH(C204),DAY(C204)),$C$21:$N$21,1,0)),"",MAX(A$28:A203)+1))</f>
        <v/>
      </c>
      <c r="B204" s="91" t="str">
        <f>IF(C204&lt;$K$16,"",IF(ISNA(HLOOKUP(DATE(YEAR($C$20),MONTH($C204),DAY($C204)),$C$20:$N$20,1,0)),"",MAX(B$28:B203)+1))</f>
        <v/>
      </c>
      <c r="C204" s="106">
        <f t="shared" si="31"/>
        <v>47361</v>
      </c>
      <c r="D204" s="795">
        <f t="shared" si="26"/>
        <v>20446.472915113409</v>
      </c>
      <c r="E204" s="795" t="str">
        <f>IF($A204="","",IF($A204=1,D$29*$F204*($C204-$C$28)/$K$17,
(D204*ROUND(($C204-VLOOKUP($A204-1,$A$28:$C204,3,0))/30,0)/12*$F204)
))</f>
        <v/>
      </c>
      <c r="F204" s="107">
        <f t="shared" si="27"/>
        <v>0.06</v>
      </c>
      <c r="G204" s="795">
        <f t="shared" si="23"/>
        <v>0</v>
      </c>
      <c r="H204" s="795">
        <f t="shared" si="28"/>
        <v>0</v>
      </c>
      <c r="I204" s="795">
        <f t="shared" si="29"/>
        <v>0</v>
      </c>
      <c r="J204" s="795">
        <f t="shared" si="30"/>
        <v>0</v>
      </c>
      <c r="K204" s="108">
        <f t="shared" si="24"/>
        <v>2029</v>
      </c>
      <c r="L204" s="92" t="str">
        <f t="shared" si="25"/>
        <v/>
      </c>
    </row>
    <row r="205" spans="1:12" ht="12.75" customHeight="1">
      <c r="A205" s="90">
        <f>IF(B205&lt;&gt;"",MAX(A$28:A204)+1,IF(ISNA(HLOOKUP(DATE(YEAR($C$21),MONTH(C205),DAY(C205)),$C$21:$N$21,1,0)),"",MAX(A$28:A204)+1))</f>
        <v>59</v>
      </c>
      <c r="B205" s="91">
        <f>IF(C205&lt;$K$16,"",IF(ISNA(HLOOKUP(DATE(YEAR($C$20),MONTH($C205),DAY($C205)),$C$20:$N$20,1,0)),"",MAX(B$28:B204)+1))</f>
        <v>47</v>
      </c>
      <c r="C205" s="106">
        <f t="shared" si="31"/>
        <v>47391</v>
      </c>
      <c r="D205" s="795">
        <f t="shared" si="26"/>
        <v>20446.472915113409</v>
      </c>
      <c r="E205" s="795">
        <f>IF($A205="","",IF($A205=1,D$29*$F205*($C205-$C$28)/$K$17,
(D205*ROUND(($C205-VLOOKUP($A205-1,$A$28:$C205,3,0))/30,0)/12*$F205)
))</f>
        <v>306.6970937267011</v>
      </c>
      <c r="F205" s="107">
        <f t="shared" si="27"/>
        <v>0.06</v>
      </c>
      <c r="G205" s="795">
        <f t="shared" si="23"/>
        <v>857.72951789820763</v>
      </c>
      <c r="H205" s="795">
        <f t="shared" si="28"/>
        <v>717.64705882352939</v>
      </c>
      <c r="I205" s="795">
        <f t="shared" si="29"/>
        <v>857.72951789820763</v>
      </c>
      <c r="J205" s="795">
        <f t="shared" si="30"/>
        <v>1164.4266116249087</v>
      </c>
      <c r="K205" s="108">
        <f t="shared" si="24"/>
        <v>2029</v>
      </c>
      <c r="L205" s="92" t="str">
        <f t="shared" si="25"/>
        <v/>
      </c>
    </row>
    <row r="206" spans="1:12" ht="12.75" customHeight="1">
      <c r="A206" s="90" t="str">
        <f>IF(B206&lt;&gt;"",MAX(A$28:A205)+1,IF(ISNA(HLOOKUP(DATE(YEAR($C$21),MONTH(C206),DAY(C206)),$C$21:$N$21,1,0)),"",MAX(A$28:A205)+1))</f>
        <v/>
      </c>
      <c r="B206" s="91" t="str">
        <f>IF(C206&lt;$K$16,"",IF(ISNA(HLOOKUP(DATE(YEAR($C$20),MONTH($C206),DAY($C206)),$C$20:$N$20,1,0)),"",MAX(B$28:B205)+1))</f>
        <v/>
      </c>
      <c r="C206" s="106">
        <f t="shared" si="31"/>
        <v>47422</v>
      </c>
      <c r="D206" s="795">
        <f t="shared" si="26"/>
        <v>19588.743397215199</v>
      </c>
      <c r="E206" s="795" t="str">
        <f>IF($A206="","",IF($A206=1,D$29*$F206*($C206-$C$28)/$K$17,
(D206*ROUND(($C206-VLOOKUP($A206-1,$A$28:$C206,3,0))/30,0)/12*$F206)
))</f>
        <v/>
      </c>
      <c r="F206" s="107">
        <f t="shared" si="27"/>
        <v>0.06</v>
      </c>
      <c r="G206" s="795">
        <f t="shared" si="23"/>
        <v>0</v>
      </c>
      <c r="H206" s="795">
        <f t="shared" si="28"/>
        <v>0</v>
      </c>
      <c r="I206" s="795">
        <f t="shared" si="29"/>
        <v>0</v>
      </c>
      <c r="J206" s="795">
        <f t="shared" si="30"/>
        <v>0</v>
      </c>
      <c r="K206" s="108">
        <f t="shared" si="24"/>
        <v>2029</v>
      </c>
      <c r="L206" s="92" t="str">
        <f t="shared" si="25"/>
        <v/>
      </c>
    </row>
    <row r="207" spans="1:12" ht="12.75" customHeight="1">
      <c r="A207" s="90" t="str">
        <f>IF(B207&lt;&gt;"",MAX(A$28:A206)+1,IF(ISNA(HLOOKUP(DATE(YEAR($C$21),MONTH(C207),DAY(C207)),$C$21:$N$21,1,0)),"",MAX(A$28:A206)+1))</f>
        <v/>
      </c>
      <c r="B207" s="91" t="str">
        <f>IF(C207&lt;$K$16,"",IF(ISNA(HLOOKUP(DATE(YEAR($C$20),MONTH($C207),DAY($C207)),$C$20:$N$20,1,0)),"",MAX(B$28:B206)+1))</f>
        <v/>
      </c>
      <c r="C207" s="106">
        <f t="shared" si="31"/>
        <v>47452</v>
      </c>
      <c r="D207" s="795">
        <f t="shared" si="26"/>
        <v>19588.743397215199</v>
      </c>
      <c r="E207" s="795" t="str">
        <f>IF($A207="","",IF($A207=1,D$29*$F207*($C207-$C$28)/$K$17,
(D207*ROUND(($C207-VLOOKUP($A207-1,$A$28:$C207,3,0))/30,0)/12*$F207)
))</f>
        <v/>
      </c>
      <c r="F207" s="107">
        <f t="shared" si="27"/>
        <v>0.06</v>
      </c>
      <c r="G207" s="795">
        <f t="shared" si="23"/>
        <v>0</v>
      </c>
      <c r="H207" s="795">
        <f t="shared" si="28"/>
        <v>0</v>
      </c>
      <c r="I207" s="795">
        <f t="shared" si="29"/>
        <v>0</v>
      </c>
      <c r="J207" s="795">
        <f t="shared" si="30"/>
        <v>0</v>
      </c>
      <c r="K207" s="108">
        <f t="shared" si="24"/>
        <v>2029</v>
      </c>
      <c r="L207" s="92" t="str">
        <f t="shared" si="25"/>
        <v/>
      </c>
    </row>
    <row r="208" spans="1:12" ht="12.75" customHeight="1">
      <c r="A208" s="90">
        <f>IF(B208&lt;&gt;"",MAX(A$28:A207)+1,IF(ISNA(HLOOKUP(DATE(YEAR($C$21),MONTH(C208),DAY(C208)),$C$21:$N$21,1,0)),"",MAX(A$28:A207)+1))</f>
        <v>60</v>
      </c>
      <c r="B208" s="91">
        <f>IF(C208&lt;$K$16,"",IF(ISNA(HLOOKUP(DATE(YEAR($C$20),MONTH($C208),DAY($C208)),$C$20:$N$20,1,0)),"",MAX(B$28:B207)+1))</f>
        <v>48</v>
      </c>
      <c r="C208" s="106">
        <f t="shared" si="31"/>
        <v>47483</v>
      </c>
      <c r="D208" s="795">
        <f t="shared" si="26"/>
        <v>19588.743397215199</v>
      </c>
      <c r="E208" s="795">
        <f>IF($A208="","",IF($A208=1,D$29*$F208*($C208-$C$28)/$K$17,
(D208*ROUND(($C208-VLOOKUP($A208-1,$A$28:$C208,3,0))/30,0)/12*$F208)
))</f>
        <v>293.83115095822797</v>
      </c>
      <c r="F208" s="107">
        <f t="shared" si="27"/>
        <v>0.06</v>
      </c>
      <c r="G208" s="795">
        <f t="shared" si="23"/>
        <v>870.59546066668076</v>
      </c>
      <c r="H208" s="795">
        <f t="shared" si="28"/>
        <v>717.64705882352939</v>
      </c>
      <c r="I208" s="795">
        <f t="shared" si="29"/>
        <v>870.59546066668076</v>
      </c>
      <c r="J208" s="795">
        <f t="shared" si="30"/>
        <v>1164.4266116249087</v>
      </c>
      <c r="K208" s="108">
        <f t="shared" si="24"/>
        <v>2029</v>
      </c>
      <c r="L208" s="92" t="str">
        <f t="shared" si="25"/>
        <v/>
      </c>
    </row>
    <row r="209" spans="1:12" ht="12.75" customHeight="1">
      <c r="A209" s="90" t="str">
        <f>IF(B209&lt;&gt;"",MAX(A$28:A208)+1,IF(ISNA(HLOOKUP(DATE(YEAR($C$21),MONTH(C209),DAY(C209)),$C$21:$N$21,1,0)),"",MAX(A$28:A208)+1))</f>
        <v/>
      </c>
      <c r="B209" s="91" t="str">
        <f>IF(C209&lt;$K$16,"",IF(ISNA(HLOOKUP(DATE(YEAR($C$20),MONTH($C209),DAY($C209)),$C$20:$N$20,1,0)),"",MAX(B$28:B208)+1))</f>
        <v/>
      </c>
      <c r="C209" s="106">
        <f t="shared" si="31"/>
        <v>47514</v>
      </c>
      <c r="D209" s="795">
        <f t="shared" si="26"/>
        <v>18718.147936548517</v>
      </c>
      <c r="E209" s="795" t="str">
        <f>IF($A209="","",IF($A209=1,D$29*$F209*($C209-$C$28)/$K$17,
(D209*ROUND(($C209-VLOOKUP($A209-1,$A$28:$C209,3,0))/30,0)/12*$F209)
))</f>
        <v/>
      </c>
      <c r="F209" s="107">
        <f t="shared" si="27"/>
        <v>0.06</v>
      </c>
      <c r="G209" s="795">
        <f t="shared" si="23"/>
        <v>0</v>
      </c>
      <c r="H209" s="795">
        <f t="shared" si="28"/>
        <v>0</v>
      </c>
      <c r="I209" s="795">
        <f t="shared" si="29"/>
        <v>0</v>
      </c>
      <c r="J209" s="795">
        <f t="shared" si="30"/>
        <v>0</v>
      </c>
      <c r="K209" s="108">
        <f t="shared" si="24"/>
        <v>2030</v>
      </c>
      <c r="L209" s="92" t="str">
        <f t="shared" si="25"/>
        <v/>
      </c>
    </row>
    <row r="210" spans="1:12" ht="12.75" customHeight="1">
      <c r="A210" s="90" t="str">
        <f>IF(B210&lt;&gt;"",MAX(A$28:A209)+1,IF(ISNA(HLOOKUP(DATE(YEAR($C$21),MONTH(C210),DAY(C210)),$C$21:$N$21,1,0)),"",MAX(A$28:A209)+1))</f>
        <v/>
      </c>
      <c r="B210" s="91" t="str">
        <f>IF(C210&lt;$K$16,"",IF(ISNA(HLOOKUP(DATE(YEAR($C$20),MONTH($C210),DAY($C210)),$C$20:$N$20,1,0)),"",MAX(B$28:B209)+1))</f>
        <v/>
      </c>
      <c r="C210" s="106">
        <f t="shared" si="31"/>
        <v>47542</v>
      </c>
      <c r="D210" s="795">
        <f t="shared" si="26"/>
        <v>18718.147936548517</v>
      </c>
      <c r="E210" s="795" t="str">
        <f>IF($A210="","",IF($A210=1,D$29*$F210*($C210-$C$28)/$K$17,
(D210*ROUND(($C210-VLOOKUP($A210-1,$A$28:$C210,3,0))/30,0)/12*$F210)
))</f>
        <v/>
      </c>
      <c r="F210" s="107">
        <f t="shared" si="27"/>
        <v>0.06</v>
      </c>
      <c r="G210" s="795">
        <f t="shared" si="23"/>
        <v>0</v>
      </c>
      <c r="H210" s="795">
        <f t="shared" si="28"/>
        <v>0</v>
      </c>
      <c r="I210" s="795">
        <f t="shared" si="29"/>
        <v>0</v>
      </c>
      <c r="J210" s="795">
        <f t="shared" si="30"/>
        <v>0</v>
      </c>
      <c r="K210" s="108">
        <f t="shared" si="24"/>
        <v>2030</v>
      </c>
      <c r="L210" s="92" t="str">
        <f t="shared" si="25"/>
        <v/>
      </c>
    </row>
    <row r="211" spans="1:12" ht="12.75" customHeight="1">
      <c r="A211" s="90">
        <f>IF(B211&lt;&gt;"",MAX(A$28:A210)+1,IF(ISNA(HLOOKUP(DATE(YEAR($C$21),MONTH(C211),DAY(C211)),$C$21:$N$21,1,0)),"",MAX(A$28:A210)+1))</f>
        <v>61</v>
      </c>
      <c r="B211" s="91">
        <f>IF(C211&lt;$K$16,"",IF(ISNA(HLOOKUP(DATE(YEAR($C$20),MONTH($C211),DAY($C211)),$C$20:$N$20,1,0)),"",MAX(B$28:B210)+1))</f>
        <v>49</v>
      </c>
      <c r="C211" s="106">
        <f t="shared" si="31"/>
        <v>47573</v>
      </c>
      <c r="D211" s="795">
        <f t="shared" si="26"/>
        <v>18718.147936548517</v>
      </c>
      <c r="E211" s="795">
        <f>IF($A211="","",IF($A211=1,D$29*$F211*($C211-$C$28)/$K$17,
(D211*ROUND(($C211-VLOOKUP($A211-1,$A$28:$C211,3,0))/30,0)/12*$F211)
))</f>
        <v>280.77221904822773</v>
      </c>
      <c r="F211" s="107">
        <f t="shared" si="27"/>
        <v>0.06</v>
      </c>
      <c r="G211" s="795">
        <f t="shared" si="23"/>
        <v>883.65439257668095</v>
      </c>
      <c r="H211" s="795">
        <f t="shared" si="28"/>
        <v>717.64705882352939</v>
      </c>
      <c r="I211" s="795">
        <f t="shared" si="29"/>
        <v>883.65439257668095</v>
      </c>
      <c r="J211" s="795">
        <f t="shared" si="30"/>
        <v>1164.4266116249087</v>
      </c>
      <c r="K211" s="108">
        <f t="shared" si="24"/>
        <v>2030</v>
      </c>
      <c r="L211" s="92" t="str">
        <f t="shared" si="25"/>
        <v/>
      </c>
    </row>
    <row r="212" spans="1:12" ht="12.75" customHeight="1">
      <c r="A212" s="90" t="str">
        <f>IF(B212&lt;&gt;"",MAX(A$28:A211)+1,IF(ISNA(HLOOKUP(DATE(YEAR($C$21),MONTH(C212),DAY(C212)),$C$21:$N$21,1,0)),"",MAX(A$28:A211)+1))</f>
        <v/>
      </c>
      <c r="B212" s="91" t="str">
        <f>IF(C212&lt;$K$16,"",IF(ISNA(HLOOKUP(DATE(YEAR($C$20),MONTH($C212),DAY($C212)),$C$20:$N$20,1,0)),"",MAX(B$28:B211)+1))</f>
        <v/>
      </c>
      <c r="C212" s="106">
        <f t="shared" si="31"/>
        <v>47603</v>
      </c>
      <c r="D212" s="795">
        <f t="shared" si="26"/>
        <v>17834.493543971836</v>
      </c>
      <c r="E212" s="795" t="str">
        <f>IF($A212="","",IF($A212=1,D$29*$F212*($C212-$C$28)/$K$17,
(D212*ROUND(($C212-VLOOKUP($A212-1,$A$28:$C212,3,0))/30,0)/12*$F212)
))</f>
        <v/>
      </c>
      <c r="F212" s="107">
        <f t="shared" si="27"/>
        <v>0.06</v>
      </c>
      <c r="G212" s="795">
        <f t="shared" si="23"/>
        <v>0</v>
      </c>
      <c r="H212" s="795">
        <f t="shared" si="28"/>
        <v>0</v>
      </c>
      <c r="I212" s="795">
        <f t="shared" si="29"/>
        <v>0</v>
      </c>
      <c r="J212" s="795">
        <f t="shared" si="30"/>
        <v>0</v>
      </c>
      <c r="K212" s="108">
        <f t="shared" si="24"/>
        <v>2030</v>
      </c>
      <c r="L212" s="92" t="str">
        <f t="shared" si="25"/>
        <v/>
      </c>
    </row>
    <row r="213" spans="1:12" ht="12.75" customHeight="1">
      <c r="A213" s="90" t="str">
        <f>IF(B213&lt;&gt;"",MAX(A$28:A212)+1,IF(ISNA(HLOOKUP(DATE(YEAR($C$21),MONTH(C213),DAY(C213)),$C$21:$N$21,1,0)),"",MAX(A$28:A212)+1))</f>
        <v/>
      </c>
      <c r="B213" s="91" t="str">
        <f>IF(C213&lt;$K$16,"",IF(ISNA(HLOOKUP(DATE(YEAR($C$20),MONTH($C213),DAY($C213)),$C$20:$N$20,1,0)),"",MAX(B$28:B212)+1))</f>
        <v/>
      </c>
      <c r="C213" s="106">
        <f t="shared" si="31"/>
        <v>47634</v>
      </c>
      <c r="D213" s="795">
        <f t="shared" si="26"/>
        <v>17834.493543971836</v>
      </c>
      <c r="E213" s="795" t="str">
        <f>IF($A213="","",IF($A213=1,D$29*$F213*($C213-$C$28)/$K$17,
(D213*ROUND(($C213-VLOOKUP($A213-1,$A$28:$C213,3,0))/30,0)/12*$F213)
))</f>
        <v/>
      </c>
      <c r="F213" s="107">
        <f t="shared" si="27"/>
        <v>0.06</v>
      </c>
      <c r="G213" s="795">
        <f t="shared" si="23"/>
        <v>0</v>
      </c>
      <c r="H213" s="795">
        <f t="shared" si="28"/>
        <v>0</v>
      </c>
      <c r="I213" s="795">
        <f t="shared" si="29"/>
        <v>0</v>
      </c>
      <c r="J213" s="795">
        <f t="shared" si="30"/>
        <v>0</v>
      </c>
      <c r="K213" s="108">
        <f t="shared" si="24"/>
        <v>2030</v>
      </c>
      <c r="L213" s="92" t="str">
        <f t="shared" si="25"/>
        <v/>
      </c>
    </row>
    <row r="214" spans="1:12" ht="12.75" customHeight="1">
      <c r="A214" s="90">
        <f>IF(B214&lt;&gt;"",MAX(A$28:A213)+1,IF(ISNA(HLOOKUP(DATE(YEAR($C$21),MONTH(C214),DAY(C214)),$C$21:$N$21,1,0)),"",MAX(A$28:A213)+1))</f>
        <v>62</v>
      </c>
      <c r="B214" s="91">
        <f>IF(C214&lt;$K$16,"",IF(ISNA(HLOOKUP(DATE(YEAR($C$20),MONTH($C214),DAY($C214)),$C$20:$N$20,1,0)),"",MAX(B$28:B213)+1))</f>
        <v>50</v>
      </c>
      <c r="C214" s="106">
        <f t="shared" si="31"/>
        <v>47664</v>
      </c>
      <c r="D214" s="795">
        <f t="shared" si="26"/>
        <v>17834.493543971836</v>
      </c>
      <c r="E214" s="795">
        <f>IF($A214="","",IF($A214=1,D$29*$F214*($C214-$C$28)/$K$17,
(D214*ROUND(($C214-VLOOKUP($A214-1,$A$28:$C214,3,0))/30,0)/12*$F214)
))</f>
        <v>267.5174031595775</v>
      </c>
      <c r="F214" s="107">
        <f t="shared" si="27"/>
        <v>0.06</v>
      </c>
      <c r="G214" s="795">
        <f t="shared" si="23"/>
        <v>896.90920846533118</v>
      </c>
      <c r="H214" s="795">
        <f t="shared" si="28"/>
        <v>717.64705882352939</v>
      </c>
      <c r="I214" s="795">
        <f t="shared" si="29"/>
        <v>896.90920846533118</v>
      </c>
      <c r="J214" s="795">
        <f t="shared" si="30"/>
        <v>1164.4266116249087</v>
      </c>
      <c r="K214" s="108">
        <f t="shared" si="24"/>
        <v>2030</v>
      </c>
      <c r="L214" s="92" t="str">
        <f t="shared" si="25"/>
        <v/>
      </c>
    </row>
    <row r="215" spans="1:12" ht="12.75" customHeight="1">
      <c r="A215" s="90" t="str">
        <f>IF(B215&lt;&gt;"",MAX(A$28:A214)+1,IF(ISNA(HLOOKUP(DATE(YEAR($C$21),MONTH(C215),DAY(C215)),$C$21:$N$21,1,0)),"",MAX(A$28:A214)+1))</f>
        <v/>
      </c>
      <c r="B215" s="91" t="str">
        <f>IF(C215&lt;$K$16,"",IF(ISNA(HLOOKUP(DATE(YEAR($C$20),MONTH($C215),DAY($C215)),$C$20:$N$20,1,0)),"",MAX(B$28:B214)+1))</f>
        <v/>
      </c>
      <c r="C215" s="106">
        <f t="shared" si="31"/>
        <v>47695</v>
      </c>
      <c r="D215" s="795">
        <f t="shared" si="26"/>
        <v>16937.584335506504</v>
      </c>
      <c r="E215" s="795" t="str">
        <f>IF($A215="","",IF($A215=1,D$29*$F215*($C215-$C$28)/$K$17,
(D215*ROUND(($C215-VLOOKUP($A215-1,$A$28:$C215,3,0))/30,0)/12*$F215)
))</f>
        <v/>
      </c>
      <c r="F215" s="107">
        <f t="shared" si="27"/>
        <v>0.06</v>
      </c>
      <c r="G215" s="795">
        <f t="shared" si="23"/>
        <v>0</v>
      </c>
      <c r="H215" s="795">
        <f t="shared" si="28"/>
        <v>0</v>
      </c>
      <c r="I215" s="795">
        <f t="shared" si="29"/>
        <v>0</v>
      </c>
      <c r="J215" s="795">
        <f t="shared" si="30"/>
        <v>0</v>
      </c>
      <c r="K215" s="108">
        <f t="shared" si="24"/>
        <v>2030</v>
      </c>
      <c r="L215" s="92" t="str">
        <f t="shared" si="25"/>
        <v/>
      </c>
    </row>
    <row r="216" spans="1:12" ht="12.75" customHeight="1">
      <c r="A216" s="90" t="str">
        <f>IF(B216&lt;&gt;"",MAX(A$28:A215)+1,IF(ISNA(HLOOKUP(DATE(YEAR($C$21),MONTH(C216),DAY(C216)),$C$21:$N$21,1,0)),"",MAX(A$28:A215)+1))</f>
        <v/>
      </c>
      <c r="B216" s="91" t="str">
        <f>IF(C216&lt;$K$16,"",IF(ISNA(HLOOKUP(DATE(YEAR($C$20),MONTH($C216),DAY($C216)),$C$20:$N$20,1,0)),"",MAX(B$28:B215)+1))</f>
        <v/>
      </c>
      <c r="C216" s="106">
        <f t="shared" si="31"/>
        <v>47726</v>
      </c>
      <c r="D216" s="795">
        <f t="shared" si="26"/>
        <v>16937.584335506504</v>
      </c>
      <c r="E216" s="795" t="str">
        <f>IF($A216="","",IF($A216=1,D$29*$F216*($C216-$C$28)/$K$17,
(D216*ROUND(($C216-VLOOKUP($A216-1,$A$28:$C216,3,0))/30,0)/12*$F216)
))</f>
        <v/>
      </c>
      <c r="F216" s="107">
        <f t="shared" si="27"/>
        <v>0.06</v>
      </c>
      <c r="G216" s="795">
        <f t="shared" si="23"/>
        <v>0</v>
      </c>
      <c r="H216" s="795">
        <f t="shared" si="28"/>
        <v>0</v>
      </c>
      <c r="I216" s="795">
        <f t="shared" si="29"/>
        <v>0</v>
      </c>
      <c r="J216" s="795">
        <f t="shared" si="30"/>
        <v>0</v>
      </c>
      <c r="K216" s="108">
        <f t="shared" si="24"/>
        <v>2030</v>
      </c>
      <c r="L216" s="92" t="str">
        <f t="shared" si="25"/>
        <v/>
      </c>
    </row>
    <row r="217" spans="1:12" ht="12.75" customHeight="1">
      <c r="A217" s="90">
        <f>IF(B217&lt;&gt;"",MAX(A$28:A216)+1,IF(ISNA(HLOOKUP(DATE(YEAR($C$21),MONTH(C217),DAY(C217)),$C$21:$N$21,1,0)),"",MAX(A$28:A216)+1))</f>
        <v>63</v>
      </c>
      <c r="B217" s="91">
        <f>IF(C217&lt;$K$16,"",IF(ISNA(HLOOKUP(DATE(YEAR($C$20),MONTH($C217),DAY($C217)),$C$20:$N$20,1,0)),"",MAX(B$28:B216)+1))</f>
        <v>51</v>
      </c>
      <c r="C217" s="106">
        <f t="shared" si="31"/>
        <v>47756</v>
      </c>
      <c r="D217" s="795">
        <f t="shared" si="26"/>
        <v>16937.584335506504</v>
      </c>
      <c r="E217" s="795">
        <f>IF($A217="","",IF($A217=1,D$29*$F217*($C217-$C$28)/$K$17,
(D217*ROUND(($C217-VLOOKUP($A217-1,$A$28:$C217,3,0))/30,0)/12*$F217)
))</f>
        <v>254.06376503259756</v>
      </c>
      <c r="F217" s="107">
        <f t="shared" si="27"/>
        <v>0.06</v>
      </c>
      <c r="G217" s="795">
        <f t="shared" si="23"/>
        <v>910.36284659231114</v>
      </c>
      <c r="H217" s="795">
        <f t="shared" si="28"/>
        <v>717.64705882352939</v>
      </c>
      <c r="I217" s="795">
        <f t="shared" si="29"/>
        <v>910.36284659231114</v>
      </c>
      <c r="J217" s="795">
        <f t="shared" si="30"/>
        <v>1164.4266116249087</v>
      </c>
      <c r="K217" s="108">
        <f t="shared" si="24"/>
        <v>2030</v>
      </c>
      <c r="L217" s="92" t="str">
        <f t="shared" si="25"/>
        <v/>
      </c>
    </row>
    <row r="218" spans="1:12" ht="12.75" customHeight="1">
      <c r="A218" s="90" t="str">
        <f>IF(B218&lt;&gt;"",MAX(A$28:A217)+1,IF(ISNA(HLOOKUP(DATE(YEAR($C$21),MONTH(C218),DAY(C218)),$C$21:$N$21,1,0)),"",MAX(A$28:A217)+1))</f>
        <v/>
      </c>
      <c r="B218" s="91" t="str">
        <f>IF(C218&lt;$K$16,"",IF(ISNA(HLOOKUP(DATE(YEAR($C$20),MONTH($C218),DAY($C218)),$C$20:$N$20,1,0)),"",MAX(B$28:B217)+1))</f>
        <v/>
      </c>
      <c r="C218" s="106">
        <f t="shared" si="31"/>
        <v>47787</v>
      </c>
      <c r="D218" s="795">
        <f t="shared" si="26"/>
        <v>16027.221488914194</v>
      </c>
      <c r="E218" s="795" t="str">
        <f>IF($A218="","",IF($A218=1,D$29*$F218*($C218-$C$28)/$K$17,
(D218*ROUND(($C218-VLOOKUP($A218-1,$A$28:$C218,3,0))/30,0)/12*$F218)
))</f>
        <v/>
      </c>
      <c r="F218" s="107">
        <f t="shared" si="27"/>
        <v>0.06</v>
      </c>
      <c r="G218" s="795">
        <f t="shared" si="23"/>
        <v>0</v>
      </c>
      <c r="H218" s="795">
        <f t="shared" si="28"/>
        <v>0</v>
      </c>
      <c r="I218" s="795">
        <f t="shared" si="29"/>
        <v>0</v>
      </c>
      <c r="J218" s="795">
        <f t="shared" si="30"/>
        <v>0</v>
      </c>
      <c r="K218" s="108">
        <f t="shared" si="24"/>
        <v>2030</v>
      </c>
      <c r="L218" s="92" t="str">
        <f t="shared" si="25"/>
        <v/>
      </c>
    </row>
    <row r="219" spans="1:12" ht="12.75" customHeight="1">
      <c r="A219" s="90" t="str">
        <f>IF(B219&lt;&gt;"",MAX(A$28:A218)+1,IF(ISNA(HLOOKUP(DATE(YEAR($C$21),MONTH(C219),DAY(C219)),$C$21:$N$21,1,0)),"",MAX(A$28:A218)+1))</f>
        <v/>
      </c>
      <c r="B219" s="91" t="str">
        <f>IF(C219&lt;$K$16,"",IF(ISNA(HLOOKUP(DATE(YEAR($C$20),MONTH($C219),DAY($C219)),$C$20:$N$20,1,0)),"",MAX(B$28:B218)+1))</f>
        <v/>
      </c>
      <c r="C219" s="106">
        <f t="shared" si="31"/>
        <v>47817</v>
      </c>
      <c r="D219" s="795">
        <f t="shared" si="26"/>
        <v>16027.221488914194</v>
      </c>
      <c r="E219" s="795" t="str">
        <f>IF($A219="","",IF($A219=1,D$29*$F219*($C219-$C$28)/$K$17,
(D219*ROUND(($C219-VLOOKUP($A219-1,$A$28:$C219,3,0))/30,0)/12*$F219)
))</f>
        <v/>
      </c>
      <c r="F219" s="107">
        <f t="shared" si="27"/>
        <v>0.06</v>
      </c>
      <c r="G219" s="795">
        <f t="shared" si="23"/>
        <v>0</v>
      </c>
      <c r="H219" s="795">
        <f t="shared" si="28"/>
        <v>0</v>
      </c>
      <c r="I219" s="795">
        <f t="shared" si="29"/>
        <v>0</v>
      </c>
      <c r="J219" s="795">
        <f t="shared" si="30"/>
        <v>0</v>
      </c>
      <c r="K219" s="108">
        <f t="shared" si="24"/>
        <v>2030</v>
      </c>
      <c r="L219" s="92" t="str">
        <f t="shared" si="25"/>
        <v/>
      </c>
    </row>
    <row r="220" spans="1:12" ht="12.75" customHeight="1">
      <c r="A220" s="90">
        <f>IF(B220&lt;&gt;"",MAX(A$28:A219)+1,IF(ISNA(HLOOKUP(DATE(YEAR($C$21),MONTH(C220),DAY(C220)),$C$21:$N$21,1,0)),"",MAX(A$28:A219)+1))</f>
        <v>64</v>
      </c>
      <c r="B220" s="91">
        <f>IF(C220&lt;$K$16,"",IF(ISNA(HLOOKUP(DATE(YEAR($C$20),MONTH($C220),DAY($C220)),$C$20:$N$20,1,0)),"",MAX(B$28:B219)+1))</f>
        <v>52</v>
      </c>
      <c r="C220" s="106">
        <f t="shared" si="31"/>
        <v>47848</v>
      </c>
      <c r="D220" s="795">
        <f t="shared" si="26"/>
        <v>16027.221488914194</v>
      </c>
      <c r="E220" s="795">
        <f>IF($A220="","",IF($A220=1,D$29*$F220*($C220-$C$28)/$K$17,
(D220*ROUND(($C220-VLOOKUP($A220-1,$A$28:$C220,3,0))/30,0)/12*$F220)
))</f>
        <v>240.40832233371293</v>
      </c>
      <c r="F220" s="107">
        <f t="shared" si="27"/>
        <v>0.06</v>
      </c>
      <c r="G220" s="795">
        <f t="shared" ref="G220:G283" si="32">IF($A$26=1,I220,H220)</f>
        <v>924.01828929119574</v>
      </c>
      <c r="H220" s="795">
        <f t="shared" si="28"/>
        <v>717.64705882352939</v>
      </c>
      <c r="I220" s="795">
        <f t="shared" si="29"/>
        <v>924.01828929119574</v>
      </c>
      <c r="J220" s="795">
        <f t="shared" si="30"/>
        <v>1164.4266116249087</v>
      </c>
      <c r="K220" s="108">
        <f t="shared" ref="K220:K283" si="33">YEAR(C220)</f>
        <v>2030</v>
      </c>
      <c r="L220" s="92" t="str">
        <f t="shared" ref="L220:L283" si="34">IF(AND(D220&gt;1,D221&lt;1),C220,"")</f>
        <v/>
      </c>
    </row>
    <row r="221" spans="1:12" ht="12.75" customHeight="1">
      <c r="A221" s="90" t="str">
        <f>IF(B221&lt;&gt;"",MAX(A$28:A220)+1,IF(ISNA(HLOOKUP(DATE(YEAR($C$21),MONTH(C221),DAY(C221)),$C$21:$N$21,1,0)),"",MAX(A$28:A220)+1))</f>
        <v/>
      </c>
      <c r="B221" s="91" t="str">
        <f>IF(C221&lt;$K$16,"",IF(ISNA(HLOOKUP(DATE(YEAR($C$20),MONTH($C221),DAY($C221)),$C$20:$N$20,1,0)),"",MAX(B$28:B220)+1))</f>
        <v/>
      </c>
      <c r="C221" s="106">
        <f t="shared" si="31"/>
        <v>47879</v>
      </c>
      <c r="D221" s="795">
        <f t="shared" ref="D221:D284" si="35">D220-G220</f>
        <v>15103.203199622998</v>
      </c>
      <c r="E221" s="795" t="str">
        <f>IF($A221="","",IF($A221=1,D$29*$F221*($C221-$C$28)/$K$17,
(D221*ROUND(($C221-VLOOKUP($A221-1,$A$28:$C221,3,0))/30,0)/12*$F221)
))</f>
        <v/>
      </c>
      <c r="F221" s="107">
        <f t="shared" ref="F221:F284" si="36">IF(C221&gt;=$E$16,$E$15,$C$15)</f>
        <v>0.06</v>
      </c>
      <c r="G221" s="795">
        <f t="shared" si="32"/>
        <v>0</v>
      </c>
      <c r="H221" s="795">
        <f t="shared" ref="H221:H284" si="37">IF(B221="",0,MIN(D221,$E$14*$K$15/$H$16))</f>
        <v>0</v>
      </c>
      <c r="I221" s="795">
        <f t="shared" ref="I221:I284" si="38">IF(B221="",0,MIN(D220,IF(C221&gt;$E$16,$H$18,$H$15)/$H$16-E221))</f>
        <v>0</v>
      </c>
      <c r="J221" s="795">
        <f t="shared" ref="J221:J284" si="39">SUM(E221,G221)</f>
        <v>0</v>
      </c>
      <c r="K221" s="108">
        <f t="shared" si="33"/>
        <v>2031</v>
      </c>
      <c r="L221" s="92" t="str">
        <f t="shared" si="34"/>
        <v/>
      </c>
    </row>
    <row r="222" spans="1:12" ht="12.75" customHeight="1">
      <c r="A222" s="90" t="str">
        <f>IF(B222&lt;&gt;"",MAX(A$28:A221)+1,IF(ISNA(HLOOKUP(DATE(YEAR($C$21),MONTH(C222),DAY(C222)),$C$21:$N$21,1,0)),"",MAX(A$28:A221)+1))</f>
        <v/>
      </c>
      <c r="B222" s="91" t="str">
        <f>IF(C222&lt;$K$16,"",IF(ISNA(HLOOKUP(DATE(YEAR($C$20),MONTH($C222),DAY($C222)),$C$20:$N$20,1,0)),"",MAX(B$28:B221)+1))</f>
        <v/>
      </c>
      <c r="C222" s="106">
        <f t="shared" ref="C222:C285" si="40">DATE(YEAR(C221),MONTH(C221)+2,1)-1</f>
        <v>47907</v>
      </c>
      <c r="D222" s="795">
        <f t="shared" si="35"/>
        <v>15103.203199622998</v>
      </c>
      <c r="E222" s="795" t="str">
        <f>IF($A222="","",IF($A222=1,D$29*$F222*($C222-$C$28)/$K$17,
(D222*ROUND(($C222-VLOOKUP($A222-1,$A$28:$C222,3,0))/30,0)/12*$F222)
))</f>
        <v/>
      </c>
      <c r="F222" s="107">
        <f t="shared" si="36"/>
        <v>0.06</v>
      </c>
      <c r="G222" s="795">
        <f t="shared" si="32"/>
        <v>0</v>
      </c>
      <c r="H222" s="795">
        <f t="shared" si="37"/>
        <v>0</v>
      </c>
      <c r="I222" s="795">
        <f t="shared" si="38"/>
        <v>0</v>
      </c>
      <c r="J222" s="795">
        <f t="shared" si="39"/>
        <v>0</v>
      </c>
      <c r="K222" s="108">
        <f t="shared" si="33"/>
        <v>2031</v>
      </c>
      <c r="L222" s="92" t="str">
        <f t="shared" si="34"/>
        <v/>
      </c>
    </row>
    <row r="223" spans="1:12" ht="12.75" customHeight="1">
      <c r="A223" s="90">
        <f>IF(B223&lt;&gt;"",MAX(A$28:A222)+1,IF(ISNA(HLOOKUP(DATE(YEAR($C$21),MONTH(C223),DAY(C223)),$C$21:$N$21,1,0)),"",MAX(A$28:A222)+1))</f>
        <v>65</v>
      </c>
      <c r="B223" s="91">
        <f>IF(C223&lt;$K$16,"",IF(ISNA(HLOOKUP(DATE(YEAR($C$20),MONTH($C223),DAY($C223)),$C$20:$N$20,1,0)),"",MAX(B$28:B222)+1))</f>
        <v>53</v>
      </c>
      <c r="C223" s="106">
        <f t="shared" si="40"/>
        <v>47938</v>
      </c>
      <c r="D223" s="795">
        <f t="shared" si="35"/>
        <v>15103.203199622998</v>
      </c>
      <c r="E223" s="795">
        <f>IF($A223="","",IF($A223=1,D$29*$F223*($C223-$C$28)/$K$17,
(D223*ROUND(($C223-VLOOKUP($A223-1,$A$28:$C223,3,0))/30,0)/12*$F223)
))</f>
        <v>226.54804799434496</v>
      </c>
      <c r="F223" s="107">
        <f t="shared" si="36"/>
        <v>0.06</v>
      </c>
      <c r="G223" s="795">
        <f t="shared" si="32"/>
        <v>937.87856363056369</v>
      </c>
      <c r="H223" s="795">
        <f t="shared" si="37"/>
        <v>717.64705882352939</v>
      </c>
      <c r="I223" s="795">
        <f t="shared" si="38"/>
        <v>937.87856363056369</v>
      </c>
      <c r="J223" s="795">
        <f t="shared" si="39"/>
        <v>1164.4266116249087</v>
      </c>
      <c r="K223" s="108">
        <f t="shared" si="33"/>
        <v>2031</v>
      </c>
      <c r="L223" s="92" t="str">
        <f t="shared" si="34"/>
        <v/>
      </c>
    </row>
    <row r="224" spans="1:12" ht="12.75" customHeight="1">
      <c r="A224" s="90" t="str">
        <f>IF(B224&lt;&gt;"",MAX(A$28:A223)+1,IF(ISNA(HLOOKUP(DATE(YEAR($C$21),MONTH(C224),DAY(C224)),$C$21:$N$21,1,0)),"",MAX(A$28:A223)+1))</f>
        <v/>
      </c>
      <c r="B224" s="91" t="str">
        <f>IF(C224&lt;$K$16,"",IF(ISNA(HLOOKUP(DATE(YEAR($C$20),MONTH($C224),DAY($C224)),$C$20:$N$20,1,0)),"",MAX(B$28:B223)+1))</f>
        <v/>
      </c>
      <c r="C224" s="106">
        <f t="shared" si="40"/>
        <v>47968</v>
      </c>
      <c r="D224" s="795">
        <f t="shared" si="35"/>
        <v>14165.324635992434</v>
      </c>
      <c r="E224" s="795" t="str">
        <f>IF($A224="","",IF($A224=1,D$29*$F224*($C224-$C$28)/$K$17,
(D224*ROUND(($C224-VLOOKUP($A224-1,$A$28:$C224,3,0))/30,0)/12*$F224)
))</f>
        <v/>
      </c>
      <c r="F224" s="107">
        <f t="shared" si="36"/>
        <v>0.06</v>
      </c>
      <c r="G224" s="795">
        <f t="shared" si="32"/>
        <v>0</v>
      </c>
      <c r="H224" s="795">
        <f t="shared" si="37"/>
        <v>0</v>
      </c>
      <c r="I224" s="795">
        <f t="shared" si="38"/>
        <v>0</v>
      </c>
      <c r="J224" s="795">
        <f t="shared" si="39"/>
        <v>0</v>
      </c>
      <c r="K224" s="108">
        <f t="shared" si="33"/>
        <v>2031</v>
      </c>
      <c r="L224" s="92" t="str">
        <f t="shared" si="34"/>
        <v/>
      </c>
    </row>
    <row r="225" spans="1:12" ht="12.75" customHeight="1">
      <c r="A225" s="90" t="str">
        <f>IF(B225&lt;&gt;"",MAX(A$28:A224)+1,IF(ISNA(HLOOKUP(DATE(YEAR($C$21),MONTH(C225),DAY(C225)),$C$21:$N$21,1,0)),"",MAX(A$28:A224)+1))</f>
        <v/>
      </c>
      <c r="B225" s="91" t="str">
        <f>IF(C225&lt;$K$16,"",IF(ISNA(HLOOKUP(DATE(YEAR($C$20),MONTH($C225),DAY($C225)),$C$20:$N$20,1,0)),"",MAX(B$28:B224)+1))</f>
        <v/>
      </c>
      <c r="C225" s="106">
        <f t="shared" si="40"/>
        <v>47999</v>
      </c>
      <c r="D225" s="795">
        <f t="shared" si="35"/>
        <v>14165.324635992434</v>
      </c>
      <c r="E225" s="795" t="str">
        <f>IF($A225="","",IF($A225=1,D$29*$F225*($C225-$C$28)/$K$17,
(D225*ROUND(($C225-VLOOKUP($A225-1,$A$28:$C225,3,0))/30,0)/12*$F225)
))</f>
        <v/>
      </c>
      <c r="F225" s="107">
        <f t="shared" si="36"/>
        <v>0.06</v>
      </c>
      <c r="G225" s="795">
        <f t="shared" si="32"/>
        <v>0</v>
      </c>
      <c r="H225" s="795">
        <f t="shared" si="37"/>
        <v>0</v>
      </c>
      <c r="I225" s="795">
        <f t="shared" si="38"/>
        <v>0</v>
      </c>
      <c r="J225" s="795">
        <f t="shared" si="39"/>
        <v>0</v>
      </c>
      <c r="K225" s="108">
        <f t="shared" si="33"/>
        <v>2031</v>
      </c>
      <c r="L225" s="92" t="str">
        <f t="shared" si="34"/>
        <v/>
      </c>
    </row>
    <row r="226" spans="1:12" ht="12.75" customHeight="1">
      <c r="A226" s="90">
        <f>IF(B226&lt;&gt;"",MAX(A$28:A225)+1,IF(ISNA(HLOOKUP(DATE(YEAR($C$21),MONTH(C226),DAY(C226)),$C$21:$N$21,1,0)),"",MAX(A$28:A225)+1))</f>
        <v>66</v>
      </c>
      <c r="B226" s="91">
        <f>IF(C226&lt;$K$16,"",IF(ISNA(HLOOKUP(DATE(YEAR($C$20),MONTH($C226),DAY($C226)),$C$20:$N$20,1,0)),"",MAX(B$28:B225)+1))</f>
        <v>54</v>
      </c>
      <c r="C226" s="106">
        <f t="shared" si="40"/>
        <v>48029</v>
      </c>
      <c r="D226" s="795">
        <f t="shared" si="35"/>
        <v>14165.324635992434</v>
      </c>
      <c r="E226" s="795">
        <f>IF($A226="","",IF($A226=1,D$29*$F226*($C226-$C$28)/$K$17,
(D226*ROUND(($C226-VLOOKUP($A226-1,$A$28:$C226,3,0))/30,0)/12*$F226)
))</f>
        <v>212.47986953988647</v>
      </c>
      <c r="F226" s="107">
        <f t="shared" si="36"/>
        <v>0.06</v>
      </c>
      <c r="G226" s="795">
        <f t="shared" si="32"/>
        <v>951.94674208502215</v>
      </c>
      <c r="H226" s="795">
        <f t="shared" si="37"/>
        <v>717.64705882352939</v>
      </c>
      <c r="I226" s="795">
        <f t="shared" si="38"/>
        <v>951.94674208502215</v>
      </c>
      <c r="J226" s="795">
        <f t="shared" si="39"/>
        <v>1164.4266116249087</v>
      </c>
      <c r="K226" s="108">
        <f t="shared" si="33"/>
        <v>2031</v>
      </c>
      <c r="L226" s="92" t="str">
        <f t="shared" si="34"/>
        <v/>
      </c>
    </row>
    <row r="227" spans="1:12" ht="12.75" customHeight="1">
      <c r="A227" s="90" t="str">
        <f>IF(B227&lt;&gt;"",MAX(A$28:A226)+1,IF(ISNA(HLOOKUP(DATE(YEAR($C$21),MONTH(C227),DAY(C227)),$C$21:$N$21,1,0)),"",MAX(A$28:A226)+1))</f>
        <v/>
      </c>
      <c r="B227" s="91" t="str">
        <f>IF(C227&lt;$K$16,"",IF(ISNA(HLOOKUP(DATE(YEAR($C$20),MONTH($C227),DAY($C227)),$C$20:$N$20,1,0)),"",MAX(B$28:B226)+1))</f>
        <v/>
      </c>
      <c r="C227" s="106">
        <f t="shared" si="40"/>
        <v>48060</v>
      </c>
      <c r="D227" s="795">
        <f t="shared" si="35"/>
        <v>13213.377893907413</v>
      </c>
      <c r="E227" s="795" t="str">
        <f>IF($A227="","",IF($A227=1,D$29*$F227*($C227-$C$28)/$K$17,
(D227*ROUND(($C227-VLOOKUP($A227-1,$A$28:$C227,3,0))/30,0)/12*$F227)
))</f>
        <v/>
      </c>
      <c r="F227" s="107">
        <f t="shared" si="36"/>
        <v>0.06</v>
      </c>
      <c r="G227" s="795">
        <f t="shared" si="32"/>
        <v>0</v>
      </c>
      <c r="H227" s="795">
        <f t="shared" si="37"/>
        <v>0</v>
      </c>
      <c r="I227" s="795">
        <f t="shared" si="38"/>
        <v>0</v>
      </c>
      <c r="J227" s="795">
        <f t="shared" si="39"/>
        <v>0</v>
      </c>
      <c r="K227" s="108">
        <f t="shared" si="33"/>
        <v>2031</v>
      </c>
      <c r="L227" s="92" t="str">
        <f t="shared" si="34"/>
        <v/>
      </c>
    </row>
    <row r="228" spans="1:12" ht="12.75" customHeight="1">
      <c r="A228" s="90" t="str">
        <f>IF(B228&lt;&gt;"",MAX(A$28:A227)+1,IF(ISNA(HLOOKUP(DATE(YEAR($C$21),MONTH(C228),DAY(C228)),$C$21:$N$21,1,0)),"",MAX(A$28:A227)+1))</f>
        <v/>
      </c>
      <c r="B228" s="91" t="str">
        <f>IF(C228&lt;$K$16,"",IF(ISNA(HLOOKUP(DATE(YEAR($C$20),MONTH($C228),DAY($C228)),$C$20:$N$20,1,0)),"",MAX(B$28:B227)+1))</f>
        <v/>
      </c>
      <c r="C228" s="106">
        <f t="shared" si="40"/>
        <v>48091</v>
      </c>
      <c r="D228" s="795">
        <f t="shared" si="35"/>
        <v>13213.377893907413</v>
      </c>
      <c r="E228" s="795" t="str">
        <f>IF($A228="","",IF($A228=1,D$29*$F228*($C228-$C$28)/$K$17,
(D228*ROUND(($C228-VLOOKUP($A228-1,$A$28:$C228,3,0))/30,0)/12*$F228)
))</f>
        <v/>
      </c>
      <c r="F228" s="107">
        <f t="shared" si="36"/>
        <v>0.06</v>
      </c>
      <c r="G228" s="795">
        <f t="shared" si="32"/>
        <v>0</v>
      </c>
      <c r="H228" s="795">
        <f t="shared" si="37"/>
        <v>0</v>
      </c>
      <c r="I228" s="795">
        <f t="shared" si="38"/>
        <v>0</v>
      </c>
      <c r="J228" s="795">
        <f t="shared" si="39"/>
        <v>0</v>
      </c>
      <c r="K228" s="108">
        <f t="shared" si="33"/>
        <v>2031</v>
      </c>
      <c r="L228" s="92" t="str">
        <f t="shared" si="34"/>
        <v/>
      </c>
    </row>
    <row r="229" spans="1:12" ht="12.75" customHeight="1">
      <c r="A229" s="90">
        <f>IF(B229&lt;&gt;"",MAX(A$28:A228)+1,IF(ISNA(HLOOKUP(DATE(YEAR($C$21),MONTH(C229),DAY(C229)),$C$21:$N$21,1,0)),"",MAX(A$28:A228)+1))</f>
        <v>67</v>
      </c>
      <c r="B229" s="91">
        <f>IF(C229&lt;$K$16,"",IF(ISNA(HLOOKUP(DATE(YEAR($C$20),MONTH($C229),DAY($C229)),$C$20:$N$20,1,0)),"",MAX(B$28:B228)+1))</f>
        <v>55</v>
      </c>
      <c r="C229" s="106">
        <f t="shared" si="40"/>
        <v>48121</v>
      </c>
      <c r="D229" s="795">
        <f t="shared" si="35"/>
        <v>13213.377893907413</v>
      </c>
      <c r="E229" s="795">
        <f>IF($A229="","",IF($A229=1,D$29*$F229*($C229-$C$28)/$K$17,
(D229*ROUND(($C229-VLOOKUP($A229-1,$A$28:$C229,3,0))/30,0)/12*$F229)
))</f>
        <v>198.20066840861119</v>
      </c>
      <c r="F229" s="107">
        <f t="shared" si="36"/>
        <v>0.06</v>
      </c>
      <c r="G229" s="795">
        <f t="shared" si="32"/>
        <v>966.22594321629754</v>
      </c>
      <c r="H229" s="795">
        <f t="shared" si="37"/>
        <v>717.64705882352939</v>
      </c>
      <c r="I229" s="795">
        <f t="shared" si="38"/>
        <v>966.22594321629754</v>
      </c>
      <c r="J229" s="795">
        <f t="shared" si="39"/>
        <v>1164.4266116249087</v>
      </c>
      <c r="K229" s="108">
        <f t="shared" si="33"/>
        <v>2031</v>
      </c>
      <c r="L229" s="92" t="str">
        <f t="shared" si="34"/>
        <v/>
      </c>
    </row>
    <row r="230" spans="1:12" ht="12.75" customHeight="1">
      <c r="A230" s="90" t="str">
        <f>IF(B230&lt;&gt;"",MAX(A$28:A229)+1,IF(ISNA(HLOOKUP(DATE(YEAR($C$21),MONTH(C230),DAY(C230)),$C$21:$N$21,1,0)),"",MAX(A$28:A229)+1))</f>
        <v/>
      </c>
      <c r="B230" s="91" t="str">
        <f>IF(C230&lt;$K$16,"",IF(ISNA(HLOOKUP(DATE(YEAR($C$20),MONTH($C230),DAY($C230)),$C$20:$N$20,1,0)),"",MAX(B$28:B229)+1))</f>
        <v/>
      </c>
      <c r="C230" s="106">
        <f t="shared" si="40"/>
        <v>48152</v>
      </c>
      <c r="D230" s="795">
        <f t="shared" si="35"/>
        <v>12247.151950691115</v>
      </c>
      <c r="E230" s="795" t="str">
        <f>IF($A230="","",IF($A230=1,D$29*$F230*($C230-$C$28)/$K$17,
(D230*ROUND(($C230-VLOOKUP($A230-1,$A$28:$C230,3,0))/30,0)/12*$F230)
))</f>
        <v/>
      </c>
      <c r="F230" s="107">
        <f t="shared" si="36"/>
        <v>0.06</v>
      </c>
      <c r="G230" s="795">
        <f t="shared" si="32"/>
        <v>0</v>
      </c>
      <c r="H230" s="795">
        <f t="shared" si="37"/>
        <v>0</v>
      </c>
      <c r="I230" s="795">
        <f t="shared" si="38"/>
        <v>0</v>
      </c>
      <c r="J230" s="795">
        <f t="shared" si="39"/>
        <v>0</v>
      </c>
      <c r="K230" s="108">
        <f t="shared" si="33"/>
        <v>2031</v>
      </c>
      <c r="L230" s="92" t="str">
        <f t="shared" si="34"/>
        <v/>
      </c>
    </row>
    <row r="231" spans="1:12" ht="12.75" customHeight="1">
      <c r="A231" s="90" t="str">
        <f>IF(B231&lt;&gt;"",MAX(A$28:A230)+1,IF(ISNA(HLOOKUP(DATE(YEAR($C$21),MONTH(C231),DAY(C231)),$C$21:$N$21,1,0)),"",MAX(A$28:A230)+1))</f>
        <v/>
      </c>
      <c r="B231" s="91" t="str">
        <f>IF(C231&lt;$K$16,"",IF(ISNA(HLOOKUP(DATE(YEAR($C$20),MONTH($C231),DAY($C231)),$C$20:$N$20,1,0)),"",MAX(B$28:B230)+1))</f>
        <v/>
      </c>
      <c r="C231" s="106">
        <f t="shared" si="40"/>
        <v>48182</v>
      </c>
      <c r="D231" s="795">
        <f t="shared" si="35"/>
        <v>12247.151950691115</v>
      </c>
      <c r="E231" s="795" t="str">
        <f>IF($A231="","",IF($A231=1,D$29*$F231*($C231-$C$28)/$K$17,
(D231*ROUND(($C231-VLOOKUP($A231-1,$A$28:$C231,3,0))/30,0)/12*$F231)
))</f>
        <v/>
      </c>
      <c r="F231" s="107">
        <f t="shared" si="36"/>
        <v>0.06</v>
      </c>
      <c r="G231" s="795">
        <f t="shared" si="32"/>
        <v>0</v>
      </c>
      <c r="H231" s="795">
        <f t="shared" si="37"/>
        <v>0</v>
      </c>
      <c r="I231" s="795">
        <f t="shared" si="38"/>
        <v>0</v>
      </c>
      <c r="J231" s="795">
        <f t="shared" si="39"/>
        <v>0</v>
      </c>
      <c r="K231" s="108">
        <f t="shared" si="33"/>
        <v>2031</v>
      </c>
      <c r="L231" s="92" t="str">
        <f t="shared" si="34"/>
        <v/>
      </c>
    </row>
    <row r="232" spans="1:12" ht="12.75" customHeight="1">
      <c r="A232" s="90">
        <f>IF(B232&lt;&gt;"",MAX(A$28:A231)+1,IF(ISNA(HLOOKUP(DATE(YEAR($C$21),MONTH(C232),DAY(C232)),$C$21:$N$21,1,0)),"",MAX(A$28:A231)+1))</f>
        <v>68</v>
      </c>
      <c r="B232" s="91">
        <f>IF(C232&lt;$K$16,"",IF(ISNA(HLOOKUP(DATE(YEAR($C$20),MONTH($C232),DAY($C232)),$C$20:$N$20,1,0)),"",MAX(B$28:B231)+1))</f>
        <v>56</v>
      </c>
      <c r="C232" s="106">
        <f t="shared" si="40"/>
        <v>48213</v>
      </c>
      <c r="D232" s="795">
        <f t="shared" si="35"/>
        <v>12247.151950691115</v>
      </c>
      <c r="E232" s="795">
        <f>IF($A232="","",IF($A232=1,D$29*$F232*($C232-$C$28)/$K$17,
(D232*ROUND(($C232-VLOOKUP($A232-1,$A$28:$C232,3,0))/30,0)/12*$F232)
))</f>
        <v>183.70727926036673</v>
      </c>
      <c r="F232" s="107">
        <f t="shared" si="36"/>
        <v>0.06</v>
      </c>
      <c r="G232" s="795">
        <f t="shared" si="32"/>
        <v>980.71933236454197</v>
      </c>
      <c r="H232" s="795">
        <f t="shared" si="37"/>
        <v>717.64705882352939</v>
      </c>
      <c r="I232" s="795">
        <f t="shared" si="38"/>
        <v>980.71933236454197</v>
      </c>
      <c r="J232" s="795">
        <f t="shared" si="39"/>
        <v>1164.4266116249087</v>
      </c>
      <c r="K232" s="108">
        <f t="shared" si="33"/>
        <v>2031</v>
      </c>
      <c r="L232" s="92" t="str">
        <f t="shared" si="34"/>
        <v/>
      </c>
    </row>
    <row r="233" spans="1:12" ht="12.75" customHeight="1">
      <c r="A233" s="90" t="str">
        <f>IF(B233&lt;&gt;"",MAX(A$28:A232)+1,IF(ISNA(HLOOKUP(DATE(YEAR($C$21),MONTH(C233),DAY(C233)),$C$21:$N$21,1,0)),"",MAX(A$28:A232)+1))</f>
        <v/>
      </c>
      <c r="B233" s="91" t="str">
        <f>IF(C233&lt;$K$16,"",IF(ISNA(HLOOKUP(DATE(YEAR($C$20),MONTH($C233),DAY($C233)),$C$20:$N$20,1,0)),"",MAX(B$28:B232)+1))</f>
        <v/>
      </c>
      <c r="C233" s="106">
        <f t="shared" si="40"/>
        <v>48244</v>
      </c>
      <c r="D233" s="795">
        <f t="shared" si="35"/>
        <v>11266.432618326573</v>
      </c>
      <c r="E233" s="795" t="str">
        <f>IF($A233="","",IF($A233=1,D$29*$F233*($C233-$C$28)/$K$17,
(D233*ROUND(($C233-VLOOKUP($A233-1,$A$28:$C233,3,0))/30,0)/12*$F233)
))</f>
        <v/>
      </c>
      <c r="F233" s="107">
        <f t="shared" si="36"/>
        <v>0.06</v>
      </c>
      <c r="G233" s="795">
        <f t="shared" si="32"/>
        <v>0</v>
      </c>
      <c r="H233" s="795">
        <f t="shared" si="37"/>
        <v>0</v>
      </c>
      <c r="I233" s="795">
        <f t="shared" si="38"/>
        <v>0</v>
      </c>
      <c r="J233" s="795">
        <f t="shared" si="39"/>
        <v>0</v>
      </c>
      <c r="K233" s="108">
        <f t="shared" si="33"/>
        <v>2032</v>
      </c>
      <c r="L233" s="92" t="str">
        <f t="shared" si="34"/>
        <v/>
      </c>
    </row>
    <row r="234" spans="1:12" ht="12.75" customHeight="1">
      <c r="A234" s="90" t="str">
        <f>IF(B234&lt;&gt;"",MAX(A$28:A233)+1,IF(ISNA(HLOOKUP(DATE(YEAR($C$21),MONTH(C234),DAY(C234)),$C$21:$N$21,1,0)),"",MAX(A$28:A233)+1))</f>
        <v/>
      </c>
      <c r="B234" s="91" t="str">
        <f>IF(C234&lt;$K$16,"",IF(ISNA(HLOOKUP(DATE(YEAR($C$20),MONTH($C234),DAY($C234)),$C$20:$N$20,1,0)),"",MAX(B$28:B233)+1))</f>
        <v/>
      </c>
      <c r="C234" s="106">
        <f t="shared" si="40"/>
        <v>48273</v>
      </c>
      <c r="D234" s="795">
        <f t="shared" si="35"/>
        <v>11266.432618326573</v>
      </c>
      <c r="E234" s="795" t="str">
        <f>IF($A234="","",IF($A234=1,D$29*$F234*($C234-$C$28)/$K$17,
(D234*ROUND(($C234-VLOOKUP($A234-1,$A$28:$C234,3,0))/30,0)/12*$F234)
))</f>
        <v/>
      </c>
      <c r="F234" s="107">
        <f t="shared" si="36"/>
        <v>0.06</v>
      </c>
      <c r="G234" s="795">
        <f t="shared" si="32"/>
        <v>0</v>
      </c>
      <c r="H234" s="795">
        <f t="shared" si="37"/>
        <v>0</v>
      </c>
      <c r="I234" s="795">
        <f t="shared" si="38"/>
        <v>0</v>
      </c>
      <c r="J234" s="795">
        <f t="shared" si="39"/>
        <v>0</v>
      </c>
      <c r="K234" s="108">
        <f t="shared" si="33"/>
        <v>2032</v>
      </c>
      <c r="L234" s="92" t="str">
        <f t="shared" si="34"/>
        <v/>
      </c>
    </row>
    <row r="235" spans="1:12" ht="12.75" customHeight="1">
      <c r="A235" s="90">
        <f>IF(B235&lt;&gt;"",MAX(A$28:A234)+1,IF(ISNA(HLOOKUP(DATE(YEAR($C$21),MONTH(C235),DAY(C235)),$C$21:$N$21,1,0)),"",MAX(A$28:A234)+1))</f>
        <v>69</v>
      </c>
      <c r="B235" s="91">
        <f>IF(C235&lt;$K$16,"",IF(ISNA(HLOOKUP(DATE(YEAR($C$20),MONTH($C235),DAY($C235)),$C$20:$N$20,1,0)),"",MAX(B$28:B234)+1))</f>
        <v>57</v>
      </c>
      <c r="C235" s="106">
        <f t="shared" si="40"/>
        <v>48304</v>
      </c>
      <c r="D235" s="795">
        <f t="shared" si="35"/>
        <v>11266.432618326573</v>
      </c>
      <c r="E235" s="795">
        <f>IF($A235="","",IF($A235=1,D$29*$F235*($C235-$C$28)/$K$17,
(D235*ROUND(($C235-VLOOKUP($A235-1,$A$28:$C235,3,0))/30,0)/12*$F235)
))</f>
        <v>168.99648927489858</v>
      </c>
      <c r="F235" s="107">
        <f t="shared" si="36"/>
        <v>0.06</v>
      </c>
      <c r="G235" s="795">
        <f t="shared" si="32"/>
        <v>995.43012235001015</v>
      </c>
      <c r="H235" s="795">
        <f t="shared" si="37"/>
        <v>717.64705882352939</v>
      </c>
      <c r="I235" s="795">
        <f t="shared" si="38"/>
        <v>995.43012235001015</v>
      </c>
      <c r="J235" s="795">
        <f t="shared" si="39"/>
        <v>1164.4266116249087</v>
      </c>
      <c r="K235" s="108">
        <f t="shared" si="33"/>
        <v>2032</v>
      </c>
      <c r="L235" s="92" t="str">
        <f t="shared" si="34"/>
        <v/>
      </c>
    </row>
    <row r="236" spans="1:12" ht="12.75" customHeight="1">
      <c r="A236" s="90" t="str">
        <f>IF(B236&lt;&gt;"",MAX(A$28:A235)+1,IF(ISNA(HLOOKUP(DATE(YEAR($C$21),MONTH(C236),DAY(C236)),$C$21:$N$21,1,0)),"",MAX(A$28:A235)+1))</f>
        <v/>
      </c>
      <c r="B236" s="91" t="str">
        <f>IF(C236&lt;$K$16,"",IF(ISNA(HLOOKUP(DATE(YEAR($C$20),MONTH($C236),DAY($C236)),$C$20:$N$20,1,0)),"",MAX(B$28:B235)+1))</f>
        <v/>
      </c>
      <c r="C236" s="106">
        <f t="shared" si="40"/>
        <v>48334</v>
      </c>
      <c r="D236" s="795">
        <f t="shared" si="35"/>
        <v>10271.002495976563</v>
      </c>
      <c r="E236" s="795" t="str">
        <f>IF($A236="","",IF($A236=1,D$29*$F236*($C236-$C$28)/$K$17,
(D236*ROUND(($C236-VLOOKUP($A236-1,$A$28:$C236,3,0))/30,0)/12*$F236)
))</f>
        <v/>
      </c>
      <c r="F236" s="107">
        <f t="shared" si="36"/>
        <v>0.06</v>
      </c>
      <c r="G236" s="795">
        <f t="shared" si="32"/>
        <v>0</v>
      </c>
      <c r="H236" s="795">
        <f t="shared" si="37"/>
        <v>0</v>
      </c>
      <c r="I236" s="795">
        <f t="shared" si="38"/>
        <v>0</v>
      </c>
      <c r="J236" s="795">
        <f t="shared" si="39"/>
        <v>0</v>
      </c>
      <c r="K236" s="108">
        <f t="shared" si="33"/>
        <v>2032</v>
      </c>
      <c r="L236" s="92" t="str">
        <f t="shared" si="34"/>
        <v/>
      </c>
    </row>
    <row r="237" spans="1:12" ht="12.75" customHeight="1">
      <c r="A237" s="90" t="str">
        <f>IF(B237&lt;&gt;"",MAX(A$28:A236)+1,IF(ISNA(HLOOKUP(DATE(YEAR($C$21),MONTH(C237),DAY(C237)),$C$21:$N$21,1,0)),"",MAX(A$28:A236)+1))</f>
        <v/>
      </c>
      <c r="B237" s="91" t="str">
        <f>IF(C237&lt;$K$16,"",IF(ISNA(HLOOKUP(DATE(YEAR($C$20),MONTH($C237),DAY($C237)),$C$20:$N$20,1,0)),"",MAX(B$28:B236)+1))</f>
        <v/>
      </c>
      <c r="C237" s="106">
        <f t="shared" si="40"/>
        <v>48365</v>
      </c>
      <c r="D237" s="795">
        <f t="shared" si="35"/>
        <v>10271.002495976563</v>
      </c>
      <c r="E237" s="795" t="str">
        <f>IF($A237="","",IF($A237=1,D$29*$F237*($C237-$C$28)/$K$17,
(D237*ROUND(($C237-VLOOKUP($A237-1,$A$28:$C237,3,0))/30,0)/12*$F237)
))</f>
        <v/>
      </c>
      <c r="F237" s="107">
        <f t="shared" si="36"/>
        <v>0.06</v>
      </c>
      <c r="G237" s="795">
        <f t="shared" si="32"/>
        <v>0</v>
      </c>
      <c r="H237" s="795">
        <f t="shared" si="37"/>
        <v>0</v>
      </c>
      <c r="I237" s="795">
        <f t="shared" si="38"/>
        <v>0</v>
      </c>
      <c r="J237" s="795">
        <f t="shared" si="39"/>
        <v>0</v>
      </c>
      <c r="K237" s="108">
        <f t="shared" si="33"/>
        <v>2032</v>
      </c>
      <c r="L237" s="92" t="str">
        <f t="shared" si="34"/>
        <v/>
      </c>
    </row>
    <row r="238" spans="1:12" ht="12.75" customHeight="1">
      <c r="A238" s="90">
        <f>IF(B238&lt;&gt;"",MAX(A$28:A237)+1,IF(ISNA(HLOOKUP(DATE(YEAR($C$21),MONTH(C238),DAY(C238)),$C$21:$N$21,1,0)),"",MAX(A$28:A237)+1))</f>
        <v>70</v>
      </c>
      <c r="B238" s="91">
        <f>IF(C238&lt;$K$16,"",IF(ISNA(HLOOKUP(DATE(YEAR($C$20),MONTH($C238),DAY($C238)),$C$20:$N$20,1,0)),"",MAX(B$28:B237)+1))</f>
        <v>58</v>
      </c>
      <c r="C238" s="106">
        <f t="shared" si="40"/>
        <v>48395</v>
      </c>
      <c r="D238" s="795">
        <f t="shared" si="35"/>
        <v>10271.002495976563</v>
      </c>
      <c r="E238" s="795">
        <f>IF($A238="","",IF($A238=1,D$29*$F238*($C238-$C$28)/$K$17,
(D238*ROUND(($C238-VLOOKUP($A238-1,$A$28:$C238,3,0))/30,0)/12*$F238)
))</f>
        <v>154.06503743964845</v>
      </c>
      <c r="F238" s="107">
        <f t="shared" si="36"/>
        <v>0.06</v>
      </c>
      <c r="G238" s="795">
        <f t="shared" si="32"/>
        <v>1010.3615741852602</v>
      </c>
      <c r="H238" s="795">
        <f t="shared" si="37"/>
        <v>717.64705882352939</v>
      </c>
      <c r="I238" s="795">
        <f t="shared" si="38"/>
        <v>1010.3615741852602</v>
      </c>
      <c r="J238" s="795">
        <f t="shared" si="39"/>
        <v>1164.4266116249087</v>
      </c>
      <c r="K238" s="108">
        <f t="shared" si="33"/>
        <v>2032</v>
      </c>
      <c r="L238" s="92" t="str">
        <f t="shared" si="34"/>
        <v/>
      </c>
    </row>
    <row r="239" spans="1:12" ht="12.75" customHeight="1">
      <c r="A239" s="90" t="str">
        <f>IF(B239&lt;&gt;"",MAX(A$28:A238)+1,IF(ISNA(HLOOKUP(DATE(YEAR($C$21),MONTH(C239),DAY(C239)),$C$21:$N$21,1,0)),"",MAX(A$28:A238)+1))</f>
        <v/>
      </c>
      <c r="B239" s="91" t="str">
        <f>IF(C239&lt;$K$16,"",IF(ISNA(HLOOKUP(DATE(YEAR($C$20),MONTH($C239),DAY($C239)),$C$20:$N$20,1,0)),"",MAX(B$28:B238)+1))</f>
        <v/>
      </c>
      <c r="C239" s="106">
        <f t="shared" si="40"/>
        <v>48426</v>
      </c>
      <c r="D239" s="795">
        <f t="shared" si="35"/>
        <v>9260.6409217913024</v>
      </c>
      <c r="E239" s="795" t="str">
        <f>IF($A239="","",IF($A239=1,D$29*$F239*($C239-$C$28)/$K$17,
(D239*ROUND(($C239-VLOOKUP($A239-1,$A$28:$C239,3,0))/30,0)/12*$F239)
))</f>
        <v/>
      </c>
      <c r="F239" s="107">
        <f t="shared" si="36"/>
        <v>0.06</v>
      </c>
      <c r="G239" s="795">
        <f t="shared" si="32"/>
        <v>0</v>
      </c>
      <c r="H239" s="795">
        <f t="shared" si="37"/>
        <v>0</v>
      </c>
      <c r="I239" s="795">
        <f t="shared" si="38"/>
        <v>0</v>
      </c>
      <c r="J239" s="795">
        <f t="shared" si="39"/>
        <v>0</v>
      </c>
      <c r="K239" s="108">
        <f t="shared" si="33"/>
        <v>2032</v>
      </c>
      <c r="L239" s="92" t="str">
        <f t="shared" si="34"/>
        <v/>
      </c>
    </row>
    <row r="240" spans="1:12" ht="12.75" customHeight="1">
      <c r="A240" s="90" t="str">
        <f>IF(B240&lt;&gt;"",MAX(A$28:A239)+1,IF(ISNA(HLOOKUP(DATE(YEAR($C$21),MONTH(C240),DAY(C240)),$C$21:$N$21,1,0)),"",MAX(A$28:A239)+1))</f>
        <v/>
      </c>
      <c r="B240" s="91" t="str">
        <f>IF(C240&lt;$K$16,"",IF(ISNA(HLOOKUP(DATE(YEAR($C$20),MONTH($C240),DAY($C240)),$C$20:$N$20,1,0)),"",MAX(B$28:B239)+1))</f>
        <v/>
      </c>
      <c r="C240" s="106">
        <f t="shared" si="40"/>
        <v>48457</v>
      </c>
      <c r="D240" s="795">
        <f t="shared" si="35"/>
        <v>9260.6409217913024</v>
      </c>
      <c r="E240" s="795" t="str">
        <f>IF($A240="","",IF($A240=1,D$29*$F240*($C240-$C$28)/$K$17,
(D240*ROUND(($C240-VLOOKUP($A240-1,$A$28:$C240,3,0))/30,0)/12*$F240)
))</f>
        <v/>
      </c>
      <c r="F240" s="107">
        <f t="shared" si="36"/>
        <v>0.06</v>
      </c>
      <c r="G240" s="795">
        <f t="shared" si="32"/>
        <v>0</v>
      </c>
      <c r="H240" s="795">
        <f t="shared" si="37"/>
        <v>0</v>
      </c>
      <c r="I240" s="795">
        <f t="shared" si="38"/>
        <v>0</v>
      </c>
      <c r="J240" s="795">
        <f t="shared" si="39"/>
        <v>0</v>
      </c>
      <c r="K240" s="108">
        <f t="shared" si="33"/>
        <v>2032</v>
      </c>
      <c r="L240" s="92" t="str">
        <f t="shared" si="34"/>
        <v/>
      </c>
    </row>
    <row r="241" spans="1:12" ht="12.75" customHeight="1">
      <c r="A241" s="90">
        <f>IF(B241&lt;&gt;"",MAX(A$28:A240)+1,IF(ISNA(HLOOKUP(DATE(YEAR($C$21),MONTH(C241),DAY(C241)),$C$21:$N$21,1,0)),"",MAX(A$28:A240)+1))</f>
        <v>71</v>
      </c>
      <c r="B241" s="91">
        <f>IF(C241&lt;$K$16,"",IF(ISNA(HLOOKUP(DATE(YEAR($C$20),MONTH($C241),DAY($C241)),$C$20:$N$20,1,0)),"",MAX(B$28:B240)+1))</f>
        <v>59</v>
      </c>
      <c r="C241" s="106">
        <f t="shared" si="40"/>
        <v>48487</v>
      </c>
      <c r="D241" s="795">
        <f t="shared" si="35"/>
        <v>9260.6409217913024</v>
      </c>
      <c r="E241" s="795">
        <f>IF($A241="","",IF($A241=1,D$29*$F241*($C241-$C$28)/$K$17,
(D241*ROUND(($C241-VLOOKUP($A241-1,$A$28:$C241,3,0))/30,0)/12*$F241)
))</f>
        <v>138.90961382686953</v>
      </c>
      <c r="F241" s="107">
        <f t="shared" si="36"/>
        <v>0.06</v>
      </c>
      <c r="G241" s="795">
        <f t="shared" si="32"/>
        <v>1025.516997798039</v>
      </c>
      <c r="H241" s="795">
        <f t="shared" si="37"/>
        <v>717.64705882352939</v>
      </c>
      <c r="I241" s="795">
        <f t="shared" si="38"/>
        <v>1025.516997798039</v>
      </c>
      <c r="J241" s="795">
        <f t="shared" si="39"/>
        <v>1164.4266116249087</v>
      </c>
      <c r="K241" s="108">
        <f t="shared" si="33"/>
        <v>2032</v>
      </c>
      <c r="L241" s="92" t="str">
        <f t="shared" si="34"/>
        <v/>
      </c>
    </row>
    <row r="242" spans="1:12" ht="12.75" customHeight="1">
      <c r="A242" s="90" t="str">
        <f>IF(B242&lt;&gt;"",MAX(A$28:A241)+1,IF(ISNA(HLOOKUP(DATE(YEAR($C$21),MONTH(C242),DAY(C242)),$C$21:$N$21,1,0)),"",MAX(A$28:A241)+1))</f>
        <v/>
      </c>
      <c r="B242" s="91" t="str">
        <f>IF(C242&lt;$K$16,"",IF(ISNA(HLOOKUP(DATE(YEAR($C$20),MONTH($C242),DAY($C242)),$C$20:$N$20,1,0)),"",MAX(B$28:B241)+1))</f>
        <v/>
      </c>
      <c r="C242" s="106">
        <f t="shared" si="40"/>
        <v>48518</v>
      </c>
      <c r="D242" s="795">
        <f t="shared" si="35"/>
        <v>8235.1239239932638</v>
      </c>
      <c r="E242" s="795" t="str">
        <f>IF($A242="","",IF($A242=1,D$29*$F242*($C242-$C$28)/$K$17,
(D242*ROUND(($C242-VLOOKUP($A242-1,$A$28:$C242,3,0))/30,0)/12*$F242)
))</f>
        <v/>
      </c>
      <c r="F242" s="107">
        <f t="shared" si="36"/>
        <v>0.06</v>
      </c>
      <c r="G242" s="795">
        <f t="shared" si="32"/>
        <v>0</v>
      </c>
      <c r="H242" s="795">
        <f t="shared" si="37"/>
        <v>0</v>
      </c>
      <c r="I242" s="795">
        <f t="shared" si="38"/>
        <v>0</v>
      </c>
      <c r="J242" s="795">
        <f t="shared" si="39"/>
        <v>0</v>
      </c>
      <c r="K242" s="108">
        <f t="shared" si="33"/>
        <v>2032</v>
      </c>
      <c r="L242" s="92" t="str">
        <f t="shared" si="34"/>
        <v/>
      </c>
    </row>
    <row r="243" spans="1:12" ht="12.75" customHeight="1">
      <c r="A243" s="90" t="str">
        <f>IF(B243&lt;&gt;"",MAX(A$28:A242)+1,IF(ISNA(HLOOKUP(DATE(YEAR($C$21),MONTH(C243),DAY(C243)),$C$21:$N$21,1,0)),"",MAX(A$28:A242)+1))</f>
        <v/>
      </c>
      <c r="B243" s="91" t="str">
        <f>IF(C243&lt;$K$16,"",IF(ISNA(HLOOKUP(DATE(YEAR($C$20),MONTH($C243),DAY($C243)),$C$20:$N$20,1,0)),"",MAX(B$28:B242)+1))</f>
        <v/>
      </c>
      <c r="C243" s="106">
        <f t="shared" si="40"/>
        <v>48548</v>
      </c>
      <c r="D243" s="795">
        <f t="shared" si="35"/>
        <v>8235.1239239932638</v>
      </c>
      <c r="E243" s="795" t="str">
        <f>IF($A243="","",IF($A243=1,D$29*$F243*($C243-$C$28)/$K$17,
(D243*ROUND(($C243-VLOOKUP($A243-1,$A$28:$C243,3,0))/30,0)/12*$F243)
))</f>
        <v/>
      </c>
      <c r="F243" s="107">
        <f t="shared" si="36"/>
        <v>0.06</v>
      </c>
      <c r="G243" s="795">
        <f t="shared" si="32"/>
        <v>0</v>
      </c>
      <c r="H243" s="795">
        <f t="shared" si="37"/>
        <v>0</v>
      </c>
      <c r="I243" s="795">
        <f t="shared" si="38"/>
        <v>0</v>
      </c>
      <c r="J243" s="795">
        <f t="shared" si="39"/>
        <v>0</v>
      </c>
      <c r="K243" s="108">
        <f t="shared" si="33"/>
        <v>2032</v>
      </c>
      <c r="L243" s="92" t="str">
        <f t="shared" si="34"/>
        <v/>
      </c>
    </row>
    <row r="244" spans="1:12" ht="12.75" customHeight="1">
      <c r="A244" s="90">
        <f>IF(B244&lt;&gt;"",MAX(A$28:A243)+1,IF(ISNA(HLOOKUP(DATE(YEAR($C$21),MONTH(C244),DAY(C244)),$C$21:$N$21,1,0)),"",MAX(A$28:A243)+1))</f>
        <v>72</v>
      </c>
      <c r="B244" s="91">
        <f>IF(C244&lt;$K$16,"",IF(ISNA(HLOOKUP(DATE(YEAR($C$20),MONTH($C244),DAY($C244)),$C$20:$N$20,1,0)),"",MAX(B$28:B243)+1))</f>
        <v>60</v>
      </c>
      <c r="C244" s="106">
        <f t="shared" si="40"/>
        <v>48579</v>
      </c>
      <c r="D244" s="795">
        <f t="shared" si="35"/>
        <v>8235.1239239932638</v>
      </c>
      <c r="E244" s="795">
        <f>IF($A244="","",IF($A244=1,D$29*$F244*($C244-$C$28)/$K$17,
(D244*ROUND(($C244-VLOOKUP($A244-1,$A$28:$C244,3,0))/30,0)/12*$F244)
))</f>
        <v>123.52685885989895</v>
      </c>
      <c r="F244" s="107">
        <f t="shared" si="36"/>
        <v>0.06</v>
      </c>
      <c r="G244" s="795">
        <f t="shared" si="32"/>
        <v>1040.8997527650097</v>
      </c>
      <c r="H244" s="795">
        <f t="shared" si="37"/>
        <v>717.64705882352939</v>
      </c>
      <c r="I244" s="795">
        <f t="shared" si="38"/>
        <v>1040.8997527650097</v>
      </c>
      <c r="J244" s="795">
        <f t="shared" si="39"/>
        <v>1164.4266116249087</v>
      </c>
      <c r="K244" s="108">
        <f t="shared" si="33"/>
        <v>2032</v>
      </c>
      <c r="L244" s="92" t="str">
        <f t="shared" si="34"/>
        <v/>
      </c>
    </row>
    <row r="245" spans="1:12" ht="12.75" customHeight="1">
      <c r="A245" s="90" t="str">
        <f>IF(B245&lt;&gt;"",MAX(A$28:A244)+1,IF(ISNA(HLOOKUP(DATE(YEAR($C$21),MONTH(C245),DAY(C245)),$C$21:$N$21,1,0)),"",MAX(A$28:A244)+1))</f>
        <v/>
      </c>
      <c r="B245" s="91" t="str">
        <f>IF(C245&lt;$K$16,"",IF(ISNA(HLOOKUP(DATE(YEAR($C$20),MONTH($C245),DAY($C245)),$C$20:$N$20,1,0)),"",MAX(B$28:B244)+1))</f>
        <v/>
      </c>
      <c r="C245" s="106">
        <f t="shared" si="40"/>
        <v>48610</v>
      </c>
      <c r="D245" s="795">
        <f t="shared" si="35"/>
        <v>7194.2241712282539</v>
      </c>
      <c r="E245" s="795" t="str">
        <f>IF($A245="","",IF($A245=1,D$29*$F245*($C245-$C$28)/$K$17,
(D245*ROUND(($C245-VLOOKUP($A245-1,$A$28:$C245,3,0))/30,0)/12*$F245)
))</f>
        <v/>
      </c>
      <c r="F245" s="107">
        <f t="shared" si="36"/>
        <v>0.06</v>
      </c>
      <c r="G245" s="795">
        <f t="shared" si="32"/>
        <v>0</v>
      </c>
      <c r="H245" s="795">
        <f t="shared" si="37"/>
        <v>0</v>
      </c>
      <c r="I245" s="795">
        <f t="shared" si="38"/>
        <v>0</v>
      </c>
      <c r="J245" s="795">
        <f t="shared" si="39"/>
        <v>0</v>
      </c>
      <c r="K245" s="108">
        <f t="shared" si="33"/>
        <v>2033</v>
      </c>
      <c r="L245" s="92" t="str">
        <f t="shared" si="34"/>
        <v/>
      </c>
    </row>
    <row r="246" spans="1:12" ht="12.75" customHeight="1">
      <c r="A246" s="90" t="str">
        <f>IF(B246&lt;&gt;"",MAX(A$28:A245)+1,IF(ISNA(HLOOKUP(DATE(YEAR($C$21),MONTH(C246),DAY(C246)),$C$21:$N$21,1,0)),"",MAX(A$28:A245)+1))</f>
        <v/>
      </c>
      <c r="B246" s="91" t="str">
        <f>IF(C246&lt;$K$16,"",IF(ISNA(HLOOKUP(DATE(YEAR($C$20),MONTH($C246),DAY($C246)),$C$20:$N$20,1,0)),"",MAX(B$28:B245)+1))</f>
        <v/>
      </c>
      <c r="C246" s="106">
        <f t="shared" si="40"/>
        <v>48638</v>
      </c>
      <c r="D246" s="795">
        <f t="shared" si="35"/>
        <v>7194.2241712282539</v>
      </c>
      <c r="E246" s="795" t="str">
        <f>IF($A246="","",IF($A246=1,D$29*$F246*($C246-$C$28)/$K$17,
(D246*ROUND(($C246-VLOOKUP($A246-1,$A$28:$C246,3,0))/30,0)/12*$F246)
))</f>
        <v/>
      </c>
      <c r="F246" s="107">
        <f t="shared" si="36"/>
        <v>0.06</v>
      </c>
      <c r="G246" s="795">
        <f t="shared" si="32"/>
        <v>0</v>
      </c>
      <c r="H246" s="795">
        <f t="shared" si="37"/>
        <v>0</v>
      </c>
      <c r="I246" s="795">
        <f t="shared" si="38"/>
        <v>0</v>
      </c>
      <c r="J246" s="795">
        <f t="shared" si="39"/>
        <v>0</v>
      </c>
      <c r="K246" s="108">
        <f t="shared" si="33"/>
        <v>2033</v>
      </c>
      <c r="L246" s="92" t="str">
        <f t="shared" si="34"/>
        <v/>
      </c>
    </row>
    <row r="247" spans="1:12" ht="12.75" customHeight="1">
      <c r="A247" s="90">
        <f>IF(B247&lt;&gt;"",MAX(A$28:A246)+1,IF(ISNA(HLOOKUP(DATE(YEAR($C$21),MONTH(C247),DAY(C247)),$C$21:$N$21,1,0)),"",MAX(A$28:A246)+1))</f>
        <v>73</v>
      </c>
      <c r="B247" s="91">
        <f>IF(C247&lt;$K$16,"",IF(ISNA(HLOOKUP(DATE(YEAR($C$20),MONTH($C247),DAY($C247)),$C$20:$N$20,1,0)),"",MAX(B$28:B246)+1))</f>
        <v>61</v>
      </c>
      <c r="C247" s="106">
        <f t="shared" si="40"/>
        <v>48669</v>
      </c>
      <c r="D247" s="795">
        <f t="shared" si="35"/>
        <v>7194.2241712282539</v>
      </c>
      <c r="E247" s="795">
        <f>IF($A247="","",IF($A247=1,D$29*$F247*($C247-$C$28)/$K$17,
(D247*ROUND(($C247-VLOOKUP($A247-1,$A$28:$C247,3,0))/30,0)/12*$F247)
))</f>
        <v>107.91336256842379</v>
      </c>
      <c r="F247" s="107">
        <f t="shared" si="36"/>
        <v>0.06</v>
      </c>
      <c r="G247" s="795">
        <f t="shared" si="32"/>
        <v>1056.5132490564849</v>
      </c>
      <c r="H247" s="795">
        <f t="shared" si="37"/>
        <v>717.64705882352939</v>
      </c>
      <c r="I247" s="795">
        <f t="shared" si="38"/>
        <v>1056.5132490564849</v>
      </c>
      <c r="J247" s="795">
        <f t="shared" si="39"/>
        <v>1164.4266116249087</v>
      </c>
      <c r="K247" s="108">
        <f t="shared" si="33"/>
        <v>2033</v>
      </c>
      <c r="L247" s="92" t="str">
        <f t="shared" si="34"/>
        <v/>
      </c>
    </row>
    <row r="248" spans="1:12" ht="12.75" customHeight="1">
      <c r="A248" s="90" t="str">
        <f>IF(B248&lt;&gt;"",MAX(A$28:A247)+1,IF(ISNA(HLOOKUP(DATE(YEAR($C$21),MONTH(C248),DAY(C248)),$C$21:$N$21,1,0)),"",MAX(A$28:A247)+1))</f>
        <v/>
      </c>
      <c r="B248" s="91" t="str">
        <f>IF(C248&lt;$K$16,"",IF(ISNA(HLOOKUP(DATE(YEAR($C$20),MONTH($C248),DAY($C248)),$C$20:$N$20,1,0)),"",MAX(B$28:B247)+1))</f>
        <v/>
      </c>
      <c r="C248" s="106">
        <f t="shared" si="40"/>
        <v>48699</v>
      </c>
      <c r="D248" s="795">
        <f t="shared" si="35"/>
        <v>6137.7109221717692</v>
      </c>
      <c r="E248" s="795" t="str">
        <f>IF($A248="","",IF($A248=1,D$29*$F248*($C248-$C$28)/$K$17,
(D248*ROUND(($C248-VLOOKUP($A248-1,$A$28:$C248,3,0))/30,0)/12*$F248)
))</f>
        <v/>
      </c>
      <c r="F248" s="107">
        <f t="shared" si="36"/>
        <v>0.06</v>
      </c>
      <c r="G248" s="795">
        <f t="shared" si="32"/>
        <v>0</v>
      </c>
      <c r="H248" s="795">
        <f t="shared" si="37"/>
        <v>0</v>
      </c>
      <c r="I248" s="795">
        <f t="shared" si="38"/>
        <v>0</v>
      </c>
      <c r="J248" s="795">
        <f t="shared" si="39"/>
        <v>0</v>
      </c>
      <c r="K248" s="108">
        <f t="shared" si="33"/>
        <v>2033</v>
      </c>
      <c r="L248" s="92" t="str">
        <f t="shared" si="34"/>
        <v/>
      </c>
    </row>
    <row r="249" spans="1:12" ht="12.75" customHeight="1">
      <c r="A249" s="90" t="str">
        <f>IF(B249&lt;&gt;"",MAX(A$28:A248)+1,IF(ISNA(HLOOKUP(DATE(YEAR($C$21),MONTH(C249),DAY(C249)),$C$21:$N$21,1,0)),"",MAX(A$28:A248)+1))</f>
        <v/>
      </c>
      <c r="B249" s="91" t="str">
        <f>IF(C249&lt;$K$16,"",IF(ISNA(HLOOKUP(DATE(YEAR($C$20),MONTH($C249),DAY($C249)),$C$20:$N$20,1,0)),"",MAX(B$28:B248)+1))</f>
        <v/>
      </c>
      <c r="C249" s="106">
        <f t="shared" si="40"/>
        <v>48730</v>
      </c>
      <c r="D249" s="795">
        <f t="shared" si="35"/>
        <v>6137.7109221717692</v>
      </c>
      <c r="E249" s="795" t="str">
        <f>IF($A249="","",IF($A249=1,D$29*$F249*($C249-$C$28)/$K$17,
(D249*ROUND(($C249-VLOOKUP($A249-1,$A$28:$C249,3,0))/30,0)/12*$F249)
))</f>
        <v/>
      </c>
      <c r="F249" s="107">
        <f t="shared" si="36"/>
        <v>0.06</v>
      </c>
      <c r="G249" s="795">
        <f t="shared" si="32"/>
        <v>0</v>
      </c>
      <c r="H249" s="795">
        <f t="shared" si="37"/>
        <v>0</v>
      </c>
      <c r="I249" s="795">
        <f t="shared" si="38"/>
        <v>0</v>
      </c>
      <c r="J249" s="795">
        <f t="shared" si="39"/>
        <v>0</v>
      </c>
      <c r="K249" s="108">
        <f t="shared" si="33"/>
        <v>2033</v>
      </c>
      <c r="L249" s="92" t="str">
        <f t="shared" si="34"/>
        <v/>
      </c>
    </row>
    <row r="250" spans="1:12" ht="12.75" customHeight="1">
      <c r="A250" s="90">
        <f>IF(B250&lt;&gt;"",MAX(A$28:A249)+1,IF(ISNA(HLOOKUP(DATE(YEAR($C$21),MONTH(C250),DAY(C250)),$C$21:$N$21,1,0)),"",MAX(A$28:A249)+1))</f>
        <v>74</v>
      </c>
      <c r="B250" s="91">
        <f>IF(C250&lt;$K$16,"",IF(ISNA(HLOOKUP(DATE(YEAR($C$20),MONTH($C250),DAY($C250)),$C$20:$N$20,1,0)),"",MAX(B$28:B249)+1))</f>
        <v>62</v>
      </c>
      <c r="C250" s="106">
        <f t="shared" si="40"/>
        <v>48760</v>
      </c>
      <c r="D250" s="795">
        <f t="shared" si="35"/>
        <v>6137.7109221717692</v>
      </c>
      <c r="E250" s="795">
        <f>IF($A250="","",IF($A250=1,D$29*$F250*($C250-$C$28)/$K$17,
(D250*ROUND(($C250-VLOOKUP($A250-1,$A$28:$C250,3,0))/30,0)/12*$F250)
))</f>
        <v>92.065663832576533</v>
      </c>
      <c r="F250" s="107">
        <f t="shared" si="36"/>
        <v>0.06</v>
      </c>
      <c r="G250" s="795">
        <f t="shared" si="32"/>
        <v>1072.3609477923321</v>
      </c>
      <c r="H250" s="795">
        <f t="shared" si="37"/>
        <v>717.64705882352939</v>
      </c>
      <c r="I250" s="795">
        <f t="shared" si="38"/>
        <v>1072.3609477923321</v>
      </c>
      <c r="J250" s="795">
        <f t="shared" si="39"/>
        <v>1164.4266116249087</v>
      </c>
      <c r="K250" s="108">
        <f t="shared" si="33"/>
        <v>2033</v>
      </c>
      <c r="L250" s="92" t="str">
        <f t="shared" si="34"/>
        <v/>
      </c>
    </row>
    <row r="251" spans="1:12" ht="12.75" customHeight="1">
      <c r="A251" s="90" t="str">
        <f>IF(B251&lt;&gt;"",MAX(A$28:A250)+1,IF(ISNA(HLOOKUP(DATE(YEAR($C$21),MONTH(C251),DAY(C251)),$C$21:$N$21,1,0)),"",MAX(A$28:A250)+1))</f>
        <v/>
      </c>
      <c r="B251" s="91" t="str">
        <f>IF(C251&lt;$K$16,"",IF(ISNA(HLOOKUP(DATE(YEAR($C$20),MONTH($C251),DAY($C251)),$C$20:$N$20,1,0)),"",MAX(B$28:B250)+1))</f>
        <v/>
      </c>
      <c r="C251" s="106">
        <f t="shared" si="40"/>
        <v>48791</v>
      </c>
      <c r="D251" s="795">
        <f t="shared" si="35"/>
        <v>5065.3499743794373</v>
      </c>
      <c r="E251" s="795" t="str">
        <f>IF($A251="","",IF($A251=1,D$29*$F251*($C251-$C$28)/$K$17,
(D251*ROUND(($C251-VLOOKUP($A251-1,$A$28:$C251,3,0))/30,0)/12*$F251)
))</f>
        <v/>
      </c>
      <c r="F251" s="107">
        <f t="shared" si="36"/>
        <v>0.06</v>
      </c>
      <c r="G251" s="795">
        <f t="shared" si="32"/>
        <v>0</v>
      </c>
      <c r="H251" s="795">
        <f t="shared" si="37"/>
        <v>0</v>
      </c>
      <c r="I251" s="795">
        <f t="shared" si="38"/>
        <v>0</v>
      </c>
      <c r="J251" s="795">
        <f t="shared" si="39"/>
        <v>0</v>
      </c>
      <c r="K251" s="108">
        <f t="shared" si="33"/>
        <v>2033</v>
      </c>
      <c r="L251" s="92" t="str">
        <f t="shared" si="34"/>
        <v/>
      </c>
    </row>
    <row r="252" spans="1:12" ht="12.75" customHeight="1">
      <c r="A252" s="90" t="str">
        <f>IF(B252&lt;&gt;"",MAX(A$28:A251)+1,IF(ISNA(HLOOKUP(DATE(YEAR($C$21),MONTH(C252),DAY(C252)),$C$21:$N$21,1,0)),"",MAX(A$28:A251)+1))</f>
        <v/>
      </c>
      <c r="B252" s="91" t="str">
        <f>IF(C252&lt;$K$16,"",IF(ISNA(HLOOKUP(DATE(YEAR($C$20),MONTH($C252),DAY($C252)),$C$20:$N$20,1,0)),"",MAX(B$28:B251)+1))</f>
        <v/>
      </c>
      <c r="C252" s="106">
        <f t="shared" si="40"/>
        <v>48822</v>
      </c>
      <c r="D252" s="795">
        <f t="shared" si="35"/>
        <v>5065.3499743794373</v>
      </c>
      <c r="E252" s="795" t="str">
        <f>IF($A252="","",IF($A252=1,D$29*$F252*($C252-$C$28)/$K$17,
(D252*ROUND(($C252-VLOOKUP($A252-1,$A$28:$C252,3,0))/30,0)/12*$F252)
))</f>
        <v/>
      </c>
      <c r="F252" s="107">
        <f t="shared" si="36"/>
        <v>0.06</v>
      </c>
      <c r="G252" s="795">
        <f t="shared" si="32"/>
        <v>0</v>
      </c>
      <c r="H252" s="795">
        <f t="shared" si="37"/>
        <v>0</v>
      </c>
      <c r="I252" s="795">
        <f t="shared" si="38"/>
        <v>0</v>
      </c>
      <c r="J252" s="795">
        <f t="shared" si="39"/>
        <v>0</v>
      </c>
      <c r="K252" s="108">
        <f t="shared" si="33"/>
        <v>2033</v>
      </c>
      <c r="L252" s="92" t="str">
        <f t="shared" si="34"/>
        <v/>
      </c>
    </row>
    <row r="253" spans="1:12" ht="12.75" customHeight="1">
      <c r="A253" s="90">
        <f>IF(B253&lt;&gt;"",MAX(A$28:A252)+1,IF(ISNA(HLOOKUP(DATE(YEAR($C$21),MONTH(C253),DAY(C253)),$C$21:$N$21,1,0)),"",MAX(A$28:A252)+1))</f>
        <v>75</v>
      </c>
      <c r="B253" s="91">
        <f>IF(C253&lt;$K$16,"",IF(ISNA(HLOOKUP(DATE(YEAR($C$20),MONTH($C253),DAY($C253)),$C$20:$N$20,1,0)),"",MAX(B$28:B252)+1))</f>
        <v>63</v>
      </c>
      <c r="C253" s="106">
        <f t="shared" si="40"/>
        <v>48852</v>
      </c>
      <c r="D253" s="795">
        <f t="shared" si="35"/>
        <v>5065.3499743794373</v>
      </c>
      <c r="E253" s="795">
        <f>IF($A253="","",IF($A253=1,D$29*$F253*($C253-$C$28)/$K$17,
(D253*ROUND(($C253-VLOOKUP($A253-1,$A$28:$C253,3,0))/30,0)/12*$F253)
))</f>
        <v>75.980249615691562</v>
      </c>
      <c r="F253" s="107">
        <f t="shared" si="36"/>
        <v>0.06</v>
      </c>
      <c r="G253" s="795">
        <f t="shared" si="32"/>
        <v>1088.4463620092172</v>
      </c>
      <c r="H253" s="795">
        <f t="shared" si="37"/>
        <v>717.64705882352939</v>
      </c>
      <c r="I253" s="795">
        <f t="shared" si="38"/>
        <v>1088.4463620092172</v>
      </c>
      <c r="J253" s="795">
        <f t="shared" si="39"/>
        <v>1164.4266116249087</v>
      </c>
      <c r="K253" s="108">
        <f t="shared" si="33"/>
        <v>2033</v>
      </c>
      <c r="L253" s="92" t="str">
        <f t="shared" si="34"/>
        <v/>
      </c>
    </row>
    <row r="254" spans="1:12" ht="12.75" customHeight="1">
      <c r="A254" s="90" t="str">
        <f>IF(B254&lt;&gt;"",MAX(A$28:A253)+1,IF(ISNA(HLOOKUP(DATE(YEAR($C$21),MONTH(C254),DAY(C254)),$C$21:$N$21,1,0)),"",MAX(A$28:A253)+1))</f>
        <v/>
      </c>
      <c r="B254" s="91" t="str">
        <f>IF(C254&lt;$K$16,"",IF(ISNA(HLOOKUP(DATE(YEAR($C$20),MONTH($C254),DAY($C254)),$C$20:$N$20,1,0)),"",MAX(B$28:B253)+1))</f>
        <v/>
      </c>
      <c r="C254" s="106">
        <f t="shared" si="40"/>
        <v>48883</v>
      </c>
      <c r="D254" s="795">
        <f t="shared" si="35"/>
        <v>3976.9036123702199</v>
      </c>
      <c r="E254" s="795" t="str">
        <f>IF($A254="","",IF($A254=1,D$29*$F254*($C254-$C$28)/$K$17,
(D254*ROUND(($C254-VLOOKUP($A254-1,$A$28:$C254,3,0))/30,0)/12*$F254)
))</f>
        <v/>
      </c>
      <c r="F254" s="107">
        <f t="shared" si="36"/>
        <v>0.06</v>
      </c>
      <c r="G254" s="795">
        <f t="shared" si="32"/>
        <v>0</v>
      </c>
      <c r="H254" s="795">
        <f t="shared" si="37"/>
        <v>0</v>
      </c>
      <c r="I254" s="795">
        <f t="shared" si="38"/>
        <v>0</v>
      </c>
      <c r="J254" s="795">
        <f t="shared" si="39"/>
        <v>0</v>
      </c>
      <c r="K254" s="108">
        <f t="shared" si="33"/>
        <v>2033</v>
      </c>
      <c r="L254" s="92" t="str">
        <f t="shared" si="34"/>
        <v/>
      </c>
    </row>
    <row r="255" spans="1:12" ht="12.75" customHeight="1">
      <c r="A255" s="90" t="str">
        <f>IF(B255&lt;&gt;"",MAX(A$28:A254)+1,IF(ISNA(HLOOKUP(DATE(YEAR($C$21),MONTH(C255),DAY(C255)),$C$21:$N$21,1,0)),"",MAX(A$28:A254)+1))</f>
        <v/>
      </c>
      <c r="B255" s="91" t="str">
        <f>IF(C255&lt;$K$16,"",IF(ISNA(HLOOKUP(DATE(YEAR($C$20),MONTH($C255),DAY($C255)),$C$20:$N$20,1,0)),"",MAX(B$28:B254)+1))</f>
        <v/>
      </c>
      <c r="C255" s="106">
        <f t="shared" si="40"/>
        <v>48913</v>
      </c>
      <c r="D255" s="795">
        <f t="shared" si="35"/>
        <v>3976.9036123702199</v>
      </c>
      <c r="E255" s="795" t="str">
        <f>IF($A255="","",IF($A255=1,D$29*$F255*($C255-$C$28)/$K$17,
(D255*ROUND(($C255-VLOOKUP($A255-1,$A$28:$C255,3,0))/30,0)/12*$F255)
))</f>
        <v/>
      </c>
      <c r="F255" s="107">
        <f t="shared" si="36"/>
        <v>0.06</v>
      </c>
      <c r="G255" s="795">
        <f t="shared" si="32"/>
        <v>0</v>
      </c>
      <c r="H255" s="795">
        <f t="shared" si="37"/>
        <v>0</v>
      </c>
      <c r="I255" s="795">
        <f t="shared" si="38"/>
        <v>0</v>
      </c>
      <c r="J255" s="795">
        <f t="shared" si="39"/>
        <v>0</v>
      </c>
      <c r="K255" s="108">
        <f t="shared" si="33"/>
        <v>2033</v>
      </c>
      <c r="L255" s="92" t="str">
        <f t="shared" si="34"/>
        <v/>
      </c>
    </row>
    <row r="256" spans="1:12" ht="12.75" customHeight="1">
      <c r="A256" s="90">
        <f>IF(B256&lt;&gt;"",MAX(A$28:A255)+1,IF(ISNA(HLOOKUP(DATE(YEAR($C$21),MONTH(C256),DAY(C256)),$C$21:$N$21,1,0)),"",MAX(A$28:A255)+1))</f>
        <v>76</v>
      </c>
      <c r="B256" s="91">
        <f>IF(C256&lt;$K$16,"",IF(ISNA(HLOOKUP(DATE(YEAR($C$20),MONTH($C256),DAY($C256)),$C$20:$N$20,1,0)),"",MAX(B$28:B255)+1))</f>
        <v>64</v>
      </c>
      <c r="C256" s="106">
        <f t="shared" si="40"/>
        <v>48944</v>
      </c>
      <c r="D256" s="795">
        <f t="shared" si="35"/>
        <v>3976.9036123702199</v>
      </c>
      <c r="E256" s="795">
        <f>IF($A256="","",IF($A256=1,D$29*$F256*($C256-$C$28)/$K$17,
(D256*ROUND(($C256-VLOOKUP($A256-1,$A$28:$C256,3,0))/30,0)/12*$F256)
))</f>
        <v>59.65355418555329</v>
      </c>
      <c r="F256" s="107">
        <f t="shared" si="36"/>
        <v>0.06</v>
      </c>
      <c r="G256" s="795">
        <f t="shared" si="32"/>
        <v>1104.7730574393554</v>
      </c>
      <c r="H256" s="795">
        <f t="shared" si="37"/>
        <v>717.64705882352939</v>
      </c>
      <c r="I256" s="795">
        <f t="shared" si="38"/>
        <v>1104.7730574393554</v>
      </c>
      <c r="J256" s="795">
        <f t="shared" si="39"/>
        <v>1164.4266116249087</v>
      </c>
      <c r="K256" s="108">
        <f t="shared" si="33"/>
        <v>2033</v>
      </c>
      <c r="L256" s="92" t="str">
        <f t="shared" si="34"/>
        <v/>
      </c>
    </row>
    <row r="257" spans="1:12" ht="12.75" customHeight="1">
      <c r="A257" s="90" t="str">
        <f>IF(B257&lt;&gt;"",MAX(A$28:A256)+1,IF(ISNA(HLOOKUP(DATE(YEAR($C$21),MONTH(C257),DAY(C257)),$C$21:$N$21,1,0)),"",MAX(A$28:A256)+1))</f>
        <v/>
      </c>
      <c r="B257" s="91" t="str">
        <f>IF(C257&lt;$K$16,"",IF(ISNA(HLOOKUP(DATE(YEAR($C$20),MONTH($C257),DAY($C257)),$C$20:$N$20,1,0)),"",MAX(B$28:B256)+1))</f>
        <v/>
      </c>
      <c r="C257" s="106">
        <f t="shared" si="40"/>
        <v>48975</v>
      </c>
      <c r="D257" s="795">
        <f t="shared" si="35"/>
        <v>2872.1305549308645</v>
      </c>
      <c r="E257" s="795" t="str">
        <f>IF($A257="","",IF($A257=1,D$29*$F257*($C257-$C$28)/$K$17,
(D257*ROUND(($C257-VLOOKUP($A257-1,$A$28:$C257,3,0))/30,0)/12*$F257)
))</f>
        <v/>
      </c>
      <c r="F257" s="107">
        <f t="shared" si="36"/>
        <v>0.06</v>
      </c>
      <c r="G257" s="795">
        <f t="shared" si="32"/>
        <v>0</v>
      </c>
      <c r="H257" s="795">
        <f t="shared" si="37"/>
        <v>0</v>
      </c>
      <c r="I257" s="795">
        <f t="shared" si="38"/>
        <v>0</v>
      </c>
      <c r="J257" s="795">
        <f t="shared" si="39"/>
        <v>0</v>
      </c>
      <c r="K257" s="108">
        <f t="shared" si="33"/>
        <v>2034</v>
      </c>
      <c r="L257" s="92" t="str">
        <f t="shared" si="34"/>
        <v/>
      </c>
    </row>
    <row r="258" spans="1:12" ht="12.75" customHeight="1">
      <c r="A258" s="90" t="str">
        <f>IF(B258&lt;&gt;"",MAX(A$28:A257)+1,IF(ISNA(HLOOKUP(DATE(YEAR($C$21),MONTH(C258),DAY(C258)),$C$21:$N$21,1,0)),"",MAX(A$28:A257)+1))</f>
        <v/>
      </c>
      <c r="B258" s="91" t="str">
        <f>IF(C258&lt;$K$16,"",IF(ISNA(HLOOKUP(DATE(YEAR($C$20),MONTH($C258),DAY($C258)),$C$20:$N$20,1,0)),"",MAX(B$28:B257)+1))</f>
        <v/>
      </c>
      <c r="C258" s="106">
        <f t="shared" si="40"/>
        <v>49003</v>
      </c>
      <c r="D258" s="795">
        <f t="shared" si="35"/>
        <v>2872.1305549308645</v>
      </c>
      <c r="E258" s="795" t="str">
        <f>IF($A258="","",IF($A258=1,D$29*$F258*($C258-$C$28)/$K$17,
(D258*ROUND(($C258-VLOOKUP($A258-1,$A$28:$C258,3,0))/30,0)/12*$F258)
))</f>
        <v/>
      </c>
      <c r="F258" s="107">
        <f t="shared" si="36"/>
        <v>0.06</v>
      </c>
      <c r="G258" s="795">
        <f t="shared" si="32"/>
        <v>0</v>
      </c>
      <c r="H258" s="795">
        <f t="shared" si="37"/>
        <v>0</v>
      </c>
      <c r="I258" s="795">
        <f t="shared" si="38"/>
        <v>0</v>
      </c>
      <c r="J258" s="795">
        <f t="shared" si="39"/>
        <v>0</v>
      </c>
      <c r="K258" s="108">
        <f t="shared" si="33"/>
        <v>2034</v>
      </c>
      <c r="L258" s="92" t="str">
        <f t="shared" si="34"/>
        <v/>
      </c>
    </row>
    <row r="259" spans="1:12" ht="12.75" customHeight="1">
      <c r="A259" s="90">
        <f>IF(B259&lt;&gt;"",MAX(A$28:A258)+1,IF(ISNA(HLOOKUP(DATE(YEAR($C$21),MONTH(C259),DAY(C259)),$C$21:$N$21,1,0)),"",MAX(A$28:A258)+1))</f>
        <v>77</v>
      </c>
      <c r="B259" s="91">
        <f>IF(C259&lt;$K$16,"",IF(ISNA(HLOOKUP(DATE(YEAR($C$20),MONTH($C259),DAY($C259)),$C$20:$N$20,1,0)),"",MAX(B$28:B258)+1))</f>
        <v>65</v>
      </c>
      <c r="C259" s="106">
        <f t="shared" si="40"/>
        <v>49034</v>
      </c>
      <c r="D259" s="795">
        <f t="shared" si="35"/>
        <v>2872.1305549308645</v>
      </c>
      <c r="E259" s="795">
        <f>IF($A259="","",IF($A259=1,D$29*$F259*($C259-$C$28)/$K$17,
(D259*ROUND(($C259-VLOOKUP($A259-1,$A$28:$C259,3,0))/30,0)/12*$F259)
))</f>
        <v>43.081958323962972</v>
      </c>
      <c r="F259" s="107">
        <f t="shared" si="36"/>
        <v>0.06</v>
      </c>
      <c r="G259" s="795">
        <f t="shared" si="32"/>
        <v>1010.7974989541452</v>
      </c>
      <c r="H259" s="795">
        <f t="shared" si="37"/>
        <v>717.64705882352939</v>
      </c>
      <c r="I259" s="795">
        <f t="shared" si="38"/>
        <v>1010.7974989541452</v>
      </c>
      <c r="J259" s="795">
        <f t="shared" si="39"/>
        <v>1053.8794572781082</v>
      </c>
      <c r="K259" s="108">
        <f t="shared" si="33"/>
        <v>2034</v>
      </c>
      <c r="L259" s="92" t="str">
        <f t="shared" si="34"/>
        <v/>
      </c>
    </row>
    <row r="260" spans="1:12" ht="12.75" customHeight="1">
      <c r="A260" s="90" t="str">
        <f>IF(B260&lt;&gt;"",MAX(A$28:A259)+1,IF(ISNA(HLOOKUP(DATE(YEAR($C$21),MONTH(C260),DAY(C260)),$C$21:$N$21,1,0)),"",MAX(A$28:A259)+1))</f>
        <v/>
      </c>
      <c r="B260" s="91" t="str">
        <f>IF(C260&lt;$K$16,"",IF(ISNA(HLOOKUP(DATE(YEAR($C$20),MONTH($C260),DAY($C260)),$C$20:$N$20,1,0)),"",MAX(B$28:B259)+1))</f>
        <v/>
      </c>
      <c r="C260" s="106">
        <f t="shared" si="40"/>
        <v>49064</v>
      </c>
      <c r="D260" s="795">
        <f t="shared" si="35"/>
        <v>1861.3330559767192</v>
      </c>
      <c r="E260" s="795" t="str">
        <f>IF($A260="","",IF($A260=1,D$29*$F260*($C260-$C$28)/$K$17,
(D260*ROUND(($C260-VLOOKUP($A260-1,$A$28:$C260,3,0))/30,0)/12*$F260)
))</f>
        <v/>
      </c>
      <c r="F260" s="107">
        <f t="shared" si="36"/>
        <v>0.06</v>
      </c>
      <c r="G260" s="795">
        <f t="shared" si="32"/>
        <v>0</v>
      </c>
      <c r="H260" s="795">
        <f t="shared" si="37"/>
        <v>0</v>
      </c>
      <c r="I260" s="795">
        <f t="shared" si="38"/>
        <v>0</v>
      </c>
      <c r="J260" s="795">
        <f t="shared" si="39"/>
        <v>0</v>
      </c>
      <c r="K260" s="108">
        <f t="shared" si="33"/>
        <v>2034</v>
      </c>
      <c r="L260" s="92" t="str">
        <f t="shared" si="34"/>
        <v/>
      </c>
    </row>
    <row r="261" spans="1:12" ht="12.75" customHeight="1">
      <c r="A261" s="90" t="str">
        <f>IF(B261&lt;&gt;"",MAX(A$28:A260)+1,IF(ISNA(HLOOKUP(DATE(YEAR($C$21),MONTH(C261),DAY(C261)),$C$21:$N$21,1,0)),"",MAX(A$28:A260)+1))</f>
        <v/>
      </c>
      <c r="B261" s="91" t="str">
        <f>IF(C261&lt;$K$16,"",IF(ISNA(HLOOKUP(DATE(YEAR($C$20),MONTH($C261),DAY($C261)),$C$20:$N$20,1,0)),"",MAX(B$28:B260)+1))</f>
        <v/>
      </c>
      <c r="C261" s="106">
        <f t="shared" si="40"/>
        <v>49095</v>
      </c>
      <c r="D261" s="795">
        <f t="shared" si="35"/>
        <v>1861.3330559767192</v>
      </c>
      <c r="E261" s="795" t="str">
        <f>IF($A261="","",IF($A261=1,D$29*$F261*($C261-$C$28)/$K$17,
(D261*ROUND(($C261-VLOOKUP($A261-1,$A$28:$C261,3,0))/30,0)/12*$F261)
))</f>
        <v/>
      </c>
      <c r="F261" s="107">
        <f t="shared" si="36"/>
        <v>0.06</v>
      </c>
      <c r="G261" s="795">
        <f t="shared" si="32"/>
        <v>0</v>
      </c>
      <c r="H261" s="795">
        <f t="shared" si="37"/>
        <v>0</v>
      </c>
      <c r="I261" s="795">
        <f t="shared" si="38"/>
        <v>0</v>
      </c>
      <c r="J261" s="795">
        <f t="shared" si="39"/>
        <v>0</v>
      </c>
      <c r="K261" s="108">
        <f t="shared" si="33"/>
        <v>2034</v>
      </c>
      <c r="L261" s="92" t="str">
        <f t="shared" si="34"/>
        <v/>
      </c>
    </row>
    <row r="262" spans="1:12" ht="12.75" customHeight="1">
      <c r="A262" s="90">
        <f>IF(B262&lt;&gt;"",MAX(A$28:A261)+1,IF(ISNA(HLOOKUP(DATE(YEAR($C$21),MONTH(C262),DAY(C262)),$C$21:$N$21,1,0)),"",MAX(A$28:A261)+1))</f>
        <v>78</v>
      </c>
      <c r="B262" s="91">
        <f>IF(C262&lt;$K$16,"",IF(ISNA(HLOOKUP(DATE(YEAR($C$20),MONTH($C262),DAY($C262)),$C$20:$N$20,1,0)),"",MAX(B$28:B261)+1))</f>
        <v>66</v>
      </c>
      <c r="C262" s="106">
        <f t="shared" si="40"/>
        <v>49125</v>
      </c>
      <c r="D262" s="795">
        <f t="shared" si="35"/>
        <v>1861.3330559767192</v>
      </c>
      <c r="E262" s="795">
        <f>IF($A262="","",IF($A262=1,D$29*$F262*($C262-$C$28)/$K$17,
(D262*ROUND(($C262-VLOOKUP($A262-1,$A$28:$C262,3,0))/30,0)/12*$F262)
))</f>
        <v>27.919995839650785</v>
      </c>
      <c r="F262" s="107">
        <f t="shared" si="36"/>
        <v>0.06</v>
      </c>
      <c r="G262" s="795">
        <f t="shared" si="32"/>
        <v>1025.9594614384575</v>
      </c>
      <c r="H262" s="795">
        <f t="shared" si="37"/>
        <v>717.64705882352939</v>
      </c>
      <c r="I262" s="795">
        <f t="shared" si="38"/>
        <v>1025.9594614384575</v>
      </c>
      <c r="J262" s="795">
        <f t="shared" si="39"/>
        <v>1053.8794572781082</v>
      </c>
      <c r="K262" s="108">
        <f t="shared" si="33"/>
        <v>2034</v>
      </c>
      <c r="L262" s="92" t="str">
        <f t="shared" si="34"/>
        <v/>
      </c>
    </row>
    <row r="263" spans="1:12" ht="12.75" customHeight="1">
      <c r="A263" s="90" t="str">
        <f>IF(B263&lt;&gt;"",MAX(A$28:A262)+1,IF(ISNA(HLOOKUP(DATE(YEAR($C$21),MONTH(C263),DAY(C263)),$C$21:$N$21,1,0)),"",MAX(A$28:A262)+1))</f>
        <v/>
      </c>
      <c r="B263" s="91" t="str">
        <f>IF(C263&lt;$K$16,"",IF(ISNA(HLOOKUP(DATE(YEAR($C$20),MONTH($C263),DAY($C263)),$C$20:$N$20,1,0)),"",MAX(B$28:B262)+1))</f>
        <v/>
      </c>
      <c r="C263" s="106">
        <f t="shared" si="40"/>
        <v>49156</v>
      </c>
      <c r="D263" s="795">
        <f t="shared" si="35"/>
        <v>835.37359453826161</v>
      </c>
      <c r="E263" s="795" t="str">
        <f>IF($A263="","",IF($A263=1,D$29*$F263*($C263-$C$28)/$K$17,
(D263*ROUND(($C263-VLOOKUP($A263-1,$A$28:$C263,3,0))/30,0)/12*$F263)
))</f>
        <v/>
      </c>
      <c r="F263" s="107">
        <f t="shared" si="36"/>
        <v>0.06</v>
      </c>
      <c r="G263" s="795">
        <f t="shared" si="32"/>
        <v>0</v>
      </c>
      <c r="H263" s="795">
        <f t="shared" si="37"/>
        <v>0</v>
      </c>
      <c r="I263" s="795">
        <f t="shared" si="38"/>
        <v>0</v>
      </c>
      <c r="J263" s="795">
        <f t="shared" si="39"/>
        <v>0</v>
      </c>
      <c r="K263" s="108">
        <f t="shared" si="33"/>
        <v>2034</v>
      </c>
      <c r="L263" s="92" t="str">
        <f t="shared" si="34"/>
        <v/>
      </c>
    </row>
    <row r="264" spans="1:12" ht="12.75" customHeight="1">
      <c r="A264" s="90" t="str">
        <f>IF(B264&lt;&gt;"",MAX(A$28:A263)+1,IF(ISNA(HLOOKUP(DATE(YEAR($C$21),MONTH(C264),DAY(C264)),$C$21:$N$21,1,0)),"",MAX(A$28:A263)+1))</f>
        <v/>
      </c>
      <c r="B264" s="91" t="str">
        <f>IF(C264&lt;$K$16,"",IF(ISNA(HLOOKUP(DATE(YEAR($C$20),MONTH($C264),DAY($C264)),$C$20:$N$20,1,0)),"",MAX(B$28:B263)+1))</f>
        <v/>
      </c>
      <c r="C264" s="106">
        <f t="shared" si="40"/>
        <v>49187</v>
      </c>
      <c r="D264" s="795">
        <f t="shared" si="35"/>
        <v>835.37359453826161</v>
      </c>
      <c r="E264" s="795" t="str">
        <f>IF($A264="","",IF($A264=1,D$29*$F264*($C264-$C$28)/$K$17,
(D264*ROUND(($C264-VLOOKUP($A264-1,$A$28:$C264,3,0))/30,0)/12*$F264)
))</f>
        <v/>
      </c>
      <c r="F264" s="107">
        <f t="shared" si="36"/>
        <v>0.06</v>
      </c>
      <c r="G264" s="795">
        <f t="shared" si="32"/>
        <v>0</v>
      </c>
      <c r="H264" s="795">
        <f t="shared" si="37"/>
        <v>0</v>
      </c>
      <c r="I264" s="795">
        <f t="shared" si="38"/>
        <v>0</v>
      </c>
      <c r="J264" s="795">
        <f t="shared" si="39"/>
        <v>0</v>
      </c>
      <c r="K264" s="108">
        <f t="shared" si="33"/>
        <v>2034</v>
      </c>
      <c r="L264" s="92" t="str">
        <f t="shared" si="34"/>
        <v/>
      </c>
    </row>
    <row r="265" spans="1:12" ht="12.75" customHeight="1">
      <c r="A265" s="90">
        <f>IF(B265&lt;&gt;"",MAX(A$28:A264)+1,IF(ISNA(HLOOKUP(DATE(YEAR($C$21),MONTH(C265),DAY(C265)),$C$21:$N$21,1,0)),"",MAX(A$28:A264)+1))</f>
        <v>79</v>
      </c>
      <c r="B265" s="91">
        <f>IF(C265&lt;$K$16,"",IF(ISNA(HLOOKUP(DATE(YEAR($C$20),MONTH($C265),DAY($C265)),$C$20:$N$20,1,0)),"",MAX(B$28:B264)+1))</f>
        <v>67</v>
      </c>
      <c r="C265" s="106">
        <f t="shared" si="40"/>
        <v>49217</v>
      </c>
      <c r="D265" s="795">
        <f t="shared" si="35"/>
        <v>835.37359453826161</v>
      </c>
      <c r="E265" s="795">
        <f>IF($A265="","",IF($A265=1,D$29*$F265*($C265-$C$28)/$K$17,
(D265*ROUND(($C265-VLOOKUP($A265-1,$A$28:$C265,3,0))/30,0)/12*$F265)
))</f>
        <v>12.530603918073925</v>
      </c>
      <c r="F265" s="107">
        <f t="shared" si="36"/>
        <v>0.06</v>
      </c>
      <c r="G265" s="795">
        <f t="shared" si="32"/>
        <v>835.37359453826161</v>
      </c>
      <c r="H265" s="795">
        <f t="shared" si="37"/>
        <v>717.64705882352939</v>
      </c>
      <c r="I265" s="795">
        <f t="shared" si="38"/>
        <v>835.37359453826161</v>
      </c>
      <c r="J265" s="795">
        <f t="shared" si="39"/>
        <v>847.90419845633551</v>
      </c>
      <c r="K265" s="108">
        <f t="shared" si="33"/>
        <v>2034</v>
      </c>
      <c r="L265" s="92">
        <f t="shared" si="34"/>
        <v>49217</v>
      </c>
    </row>
    <row r="266" spans="1:12" ht="12.75" customHeight="1">
      <c r="A266" s="90" t="str">
        <f>IF(B266&lt;&gt;"",MAX(A$28:A265)+1,IF(ISNA(HLOOKUP(DATE(YEAR($C$21),MONTH(C266),DAY(C266)),$C$21:$N$21,1,0)),"",MAX(A$28:A265)+1))</f>
        <v/>
      </c>
      <c r="B266" s="91" t="str">
        <f>IF(C266&lt;$K$16,"",IF(ISNA(HLOOKUP(DATE(YEAR($C$20),MONTH($C266),DAY($C266)),$C$20:$N$20,1,0)),"",MAX(B$28:B265)+1))</f>
        <v/>
      </c>
      <c r="C266" s="106">
        <f t="shared" si="40"/>
        <v>49248</v>
      </c>
      <c r="D266" s="795">
        <f t="shared" si="35"/>
        <v>0</v>
      </c>
      <c r="E266" s="795" t="str">
        <f>IF($A266="","",IF($A266=1,D$29*$F266*($C266-$C$28)/$K$17,
(D266*ROUND(($C266-VLOOKUP($A266-1,$A$28:$C266,3,0))/30,0)/12*$F266)
))</f>
        <v/>
      </c>
      <c r="F266" s="107">
        <f t="shared" si="36"/>
        <v>0.06</v>
      </c>
      <c r="G266" s="795">
        <f t="shared" si="32"/>
        <v>0</v>
      </c>
      <c r="H266" s="795">
        <f t="shared" si="37"/>
        <v>0</v>
      </c>
      <c r="I266" s="795">
        <f t="shared" si="38"/>
        <v>0</v>
      </c>
      <c r="J266" s="795">
        <f t="shared" si="39"/>
        <v>0</v>
      </c>
      <c r="K266" s="108">
        <f t="shared" si="33"/>
        <v>2034</v>
      </c>
      <c r="L266" s="92" t="str">
        <f t="shared" si="34"/>
        <v/>
      </c>
    </row>
    <row r="267" spans="1:12" ht="12.75" customHeight="1">
      <c r="A267" s="90" t="str">
        <f>IF(B267&lt;&gt;"",MAX(A$28:A266)+1,IF(ISNA(HLOOKUP(DATE(YEAR($C$21),MONTH(C267),DAY(C267)),$C$21:$N$21,1,0)),"",MAX(A$28:A266)+1))</f>
        <v/>
      </c>
      <c r="B267" s="91" t="str">
        <f>IF(C267&lt;$K$16,"",IF(ISNA(HLOOKUP(DATE(YEAR($C$20),MONTH($C267),DAY($C267)),$C$20:$N$20,1,0)),"",MAX(B$28:B266)+1))</f>
        <v/>
      </c>
      <c r="C267" s="106">
        <f t="shared" si="40"/>
        <v>49278</v>
      </c>
      <c r="D267" s="795">
        <f t="shared" si="35"/>
        <v>0</v>
      </c>
      <c r="E267" s="795" t="str">
        <f>IF($A267="","",IF($A267=1,D$29*$F267*($C267-$C$28)/$K$17,
(D267*ROUND(($C267-VLOOKUP($A267-1,$A$28:$C267,3,0))/30,0)/12*$F267)
))</f>
        <v/>
      </c>
      <c r="F267" s="107">
        <f t="shared" si="36"/>
        <v>0.06</v>
      </c>
      <c r="G267" s="795">
        <f t="shared" si="32"/>
        <v>0</v>
      </c>
      <c r="H267" s="795">
        <f t="shared" si="37"/>
        <v>0</v>
      </c>
      <c r="I267" s="795">
        <f t="shared" si="38"/>
        <v>0</v>
      </c>
      <c r="J267" s="795">
        <f t="shared" si="39"/>
        <v>0</v>
      </c>
      <c r="K267" s="108">
        <f t="shared" si="33"/>
        <v>2034</v>
      </c>
      <c r="L267" s="92" t="str">
        <f t="shared" si="34"/>
        <v/>
      </c>
    </row>
    <row r="268" spans="1:12" ht="12.75" customHeight="1">
      <c r="A268" s="90">
        <f>IF(B268&lt;&gt;"",MAX(A$28:A267)+1,IF(ISNA(HLOOKUP(DATE(YEAR($C$21),MONTH(C268),DAY(C268)),$C$21:$N$21,1,0)),"",MAX(A$28:A267)+1))</f>
        <v>80</v>
      </c>
      <c r="B268" s="91">
        <f>IF(C268&lt;$K$16,"",IF(ISNA(HLOOKUP(DATE(YEAR($C$20),MONTH($C268),DAY($C268)),$C$20:$N$20,1,0)),"",MAX(B$28:B267)+1))</f>
        <v>68</v>
      </c>
      <c r="C268" s="106">
        <f t="shared" si="40"/>
        <v>49309</v>
      </c>
      <c r="D268" s="795">
        <f t="shared" si="35"/>
        <v>0</v>
      </c>
      <c r="E268" s="795">
        <f>IF($A268="","",IF($A268=1,D$29*$F268*($C268-$C$28)/$K$17,
(D268*ROUND(($C268-VLOOKUP($A268-1,$A$28:$C268,3,0))/30,0)/12*$F268)
))</f>
        <v>0</v>
      </c>
      <c r="F268" s="107">
        <f t="shared" si="36"/>
        <v>0.06</v>
      </c>
      <c r="G268" s="795">
        <f t="shared" si="32"/>
        <v>0</v>
      </c>
      <c r="H268" s="795">
        <f t="shared" si="37"/>
        <v>0</v>
      </c>
      <c r="I268" s="795">
        <f t="shared" si="38"/>
        <v>0</v>
      </c>
      <c r="J268" s="795">
        <f t="shared" si="39"/>
        <v>0</v>
      </c>
      <c r="K268" s="108">
        <f t="shared" si="33"/>
        <v>2034</v>
      </c>
      <c r="L268" s="92" t="str">
        <f t="shared" si="34"/>
        <v/>
      </c>
    </row>
    <row r="269" spans="1:12" ht="12.75" customHeight="1">
      <c r="A269" s="90" t="str">
        <f>IF(B269&lt;&gt;"",MAX(A$28:A268)+1,IF(ISNA(HLOOKUP(DATE(YEAR($C$21),MONTH(C269),DAY(C269)),$C$21:$N$21,1,0)),"",MAX(A$28:A268)+1))</f>
        <v/>
      </c>
      <c r="B269" s="91" t="str">
        <f>IF(C269&lt;$K$16,"",IF(ISNA(HLOOKUP(DATE(YEAR($C$20),MONTH($C269),DAY($C269)),$C$20:$N$20,1,0)),"",MAX(B$28:B268)+1))</f>
        <v/>
      </c>
      <c r="C269" s="106">
        <f t="shared" si="40"/>
        <v>49340</v>
      </c>
      <c r="D269" s="795">
        <f t="shared" si="35"/>
        <v>0</v>
      </c>
      <c r="E269" s="795" t="str">
        <f>IF($A269="","",IF($A269=1,D$29*$F269*($C269-$C$28)/$K$17,
(D269*ROUND(($C269-VLOOKUP($A269-1,$A$28:$C269,3,0))/30,0)/12*$F269)
))</f>
        <v/>
      </c>
      <c r="F269" s="107">
        <f t="shared" si="36"/>
        <v>0.06</v>
      </c>
      <c r="G269" s="795">
        <f t="shared" si="32"/>
        <v>0</v>
      </c>
      <c r="H269" s="795">
        <f t="shared" si="37"/>
        <v>0</v>
      </c>
      <c r="I269" s="795">
        <f t="shared" si="38"/>
        <v>0</v>
      </c>
      <c r="J269" s="795">
        <f t="shared" si="39"/>
        <v>0</v>
      </c>
      <c r="K269" s="108">
        <f t="shared" si="33"/>
        <v>2035</v>
      </c>
      <c r="L269" s="92" t="str">
        <f t="shared" si="34"/>
        <v/>
      </c>
    </row>
    <row r="270" spans="1:12" ht="12.75" customHeight="1">
      <c r="A270" s="90" t="str">
        <f>IF(B270&lt;&gt;"",MAX(A$28:A269)+1,IF(ISNA(HLOOKUP(DATE(YEAR($C$21),MONTH(C270),DAY(C270)),$C$21:$N$21,1,0)),"",MAX(A$28:A269)+1))</f>
        <v/>
      </c>
      <c r="B270" s="91" t="str">
        <f>IF(C270&lt;$K$16,"",IF(ISNA(HLOOKUP(DATE(YEAR($C$20),MONTH($C270),DAY($C270)),$C$20:$N$20,1,0)),"",MAX(B$28:B269)+1))</f>
        <v/>
      </c>
      <c r="C270" s="106">
        <f t="shared" si="40"/>
        <v>49368</v>
      </c>
      <c r="D270" s="795">
        <f t="shared" si="35"/>
        <v>0</v>
      </c>
      <c r="E270" s="795" t="str">
        <f>IF($A270="","",IF($A270=1,D$29*$F270*($C270-$C$28)/$K$17,
(D270*ROUND(($C270-VLOOKUP($A270-1,$A$28:$C270,3,0))/30,0)/12*$F270)
))</f>
        <v/>
      </c>
      <c r="F270" s="107">
        <f t="shared" si="36"/>
        <v>0.06</v>
      </c>
      <c r="G270" s="795">
        <f t="shared" si="32"/>
        <v>0</v>
      </c>
      <c r="H270" s="795">
        <f t="shared" si="37"/>
        <v>0</v>
      </c>
      <c r="I270" s="795">
        <f t="shared" si="38"/>
        <v>0</v>
      </c>
      <c r="J270" s="795">
        <f t="shared" si="39"/>
        <v>0</v>
      </c>
      <c r="K270" s="108">
        <f t="shared" si="33"/>
        <v>2035</v>
      </c>
      <c r="L270" s="92" t="str">
        <f t="shared" si="34"/>
        <v/>
      </c>
    </row>
    <row r="271" spans="1:12" ht="12.75" customHeight="1">
      <c r="A271" s="90">
        <f>IF(B271&lt;&gt;"",MAX(A$28:A270)+1,IF(ISNA(HLOOKUP(DATE(YEAR($C$21),MONTH(C271),DAY(C271)),$C$21:$N$21,1,0)),"",MAX(A$28:A270)+1))</f>
        <v>81</v>
      </c>
      <c r="B271" s="91">
        <f>IF(C271&lt;$K$16,"",IF(ISNA(HLOOKUP(DATE(YEAR($C$20),MONTH($C271),DAY($C271)),$C$20:$N$20,1,0)),"",MAX(B$28:B270)+1))</f>
        <v>69</v>
      </c>
      <c r="C271" s="106">
        <f t="shared" si="40"/>
        <v>49399</v>
      </c>
      <c r="D271" s="795">
        <f t="shared" si="35"/>
        <v>0</v>
      </c>
      <c r="E271" s="795">
        <f>IF($A271="","",IF($A271=1,D$29*$F271*($C271-$C$28)/$K$17,
(D271*ROUND(($C271-VLOOKUP($A271-1,$A$28:$C271,3,0))/30,0)/12*$F271)
))</f>
        <v>0</v>
      </c>
      <c r="F271" s="107">
        <f t="shared" si="36"/>
        <v>0.06</v>
      </c>
      <c r="G271" s="795">
        <f t="shared" si="32"/>
        <v>0</v>
      </c>
      <c r="H271" s="795">
        <f t="shared" si="37"/>
        <v>0</v>
      </c>
      <c r="I271" s="795">
        <f t="shared" si="38"/>
        <v>0</v>
      </c>
      <c r="J271" s="795">
        <f t="shared" si="39"/>
        <v>0</v>
      </c>
      <c r="K271" s="108">
        <f t="shared" si="33"/>
        <v>2035</v>
      </c>
      <c r="L271" s="92" t="str">
        <f t="shared" si="34"/>
        <v/>
      </c>
    </row>
    <row r="272" spans="1:12" ht="12.75" customHeight="1">
      <c r="A272" s="90" t="str">
        <f>IF(B272&lt;&gt;"",MAX(A$28:A271)+1,IF(ISNA(HLOOKUP(DATE(YEAR($C$21),MONTH(C272),DAY(C272)),$C$21:$N$21,1,0)),"",MAX(A$28:A271)+1))</f>
        <v/>
      </c>
      <c r="B272" s="91" t="str">
        <f>IF(C272&lt;$K$16,"",IF(ISNA(HLOOKUP(DATE(YEAR($C$20),MONTH($C272),DAY($C272)),$C$20:$N$20,1,0)),"",MAX(B$28:B271)+1))</f>
        <v/>
      </c>
      <c r="C272" s="106">
        <f t="shared" si="40"/>
        <v>49429</v>
      </c>
      <c r="D272" s="795">
        <f t="shared" si="35"/>
        <v>0</v>
      </c>
      <c r="E272" s="795" t="str">
        <f>IF($A272="","",IF($A272=1,D$29*$F272*($C272-$C$28)/$K$17,
(D272*ROUND(($C272-VLOOKUP($A272-1,$A$28:$C272,3,0))/30,0)/12*$F272)
))</f>
        <v/>
      </c>
      <c r="F272" s="107">
        <f t="shared" si="36"/>
        <v>0.06</v>
      </c>
      <c r="G272" s="795">
        <f t="shared" si="32"/>
        <v>0</v>
      </c>
      <c r="H272" s="795">
        <f t="shared" si="37"/>
        <v>0</v>
      </c>
      <c r="I272" s="795">
        <f t="shared" si="38"/>
        <v>0</v>
      </c>
      <c r="J272" s="795">
        <f t="shared" si="39"/>
        <v>0</v>
      </c>
      <c r="K272" s="108">
        <f t="shared" si="33"/>
        <v>2035</v>
      </c>
      <c r="L272" s="92" t="str">
        <f t="shared" si="34"/>
        <v/>
      </c>
    </row>
    <row r="273" spans="1:12" ht="12.75" customHeight="1">
      <c r="A273" s="90" t="str">
        <f>IF(B273&lt;&gt;"",MAX(A$28:A272)+1,IF(ISNA(HLOOKUP(DATE(YEAR($C$21),MONTH(C273),DAY(C273)),$C$21:$N$21,1,0)),"",MAX(A$28:A272)+1))</f>
        <v/>
      </c>
      <c r="B273" s="91" t="str">
        <f>IF(C273&lt;$K$16,"",IF(ISNA(HLOOKUP(DATE(YEAR($C$20),MONTH($C273),DAY($C273)),$C$20:$N$20,1,0)),"",MAX(B$28:B272)+1))</f>
        <v/>
      </c>
      <c r="C273" s="106">
        <f t="shared" si="40"/>
        <v>49460</v>
      </c>
      <c r="D273" s="795">
        <f t="shared" si="35"/>
        <v>0</v>
      </c>
      <c r="E273" s="795" t="str">
        <f>IF($A273="","",IF($A273=1,D$29*$F273*($C273-$C$28)/$K$17,
(D273*ROUND(($C273-VLOOKUP($A273-1,$A$28:$C273,3,0))/30,0)/12*$F273)
))</f>
        <v/>
      </c>
      <c r="F273" s="107">
        <f t="shared" si="36"/>
        <v>0.06</v>
      </c>
      <c r="G273" s="795">
        <f t="shared" si="32"/>
        <v>0</v>
      </c>
      <c r="H273" s="795">
        <f t="shared" si="37"/>
        <v>0</v>
      </c>
      <c r="I273" s="795">
        <f t="shared" si="38"/>
        <v>0</v>
      </c>
      <c r="J273" s="795">
        <f t="shared" si="39"/>
        <v>0</v>
      </c>
      <c r="K273" s="108">
        <f t="shared" si="33"/>
        <v>2035</v>
      </c>
      <c r="L273" s="92" t="str">
        <f t="shared" si="34"/>
        <v/>
      </c>
    </row>
    <row r="274" spans="1:12" ht="12.75" customHeight="1">
      <c r="A274" s="90">
        <f>IF(B274&lt;&gt;"",MAX(A$28:A273)+1,IF(ISNA(HLOOKUP(DATE(YEAR($C$21),MONTH(C274),DAY(C274)),$C$21:$N$21,1,0)),"",MAX(A$28:A273)+1))</f>
        <v>82</v>
      </c>
      <c r="B274" s="91">
        <f>IF(C274&lt;$K$16,"",IF(ISNA(HLOOKUP(DATE(YEAR($C$20),MONTH($C274),DAY($C274)),$C$20:$N$20,1,0)),"",MAX(B$28:B273)+1))</f>
        <v>70</v>
      </c>
      <c r="C274" s="106">
        <f t="shared" si="40"/>
        <v>49490</v>
      </c>
      <c r="D274" s="795">
        <f t="shared" si="35"/>
        <v>0</v>
      </c>
      <c r="E274" s="795">
        <f>IF($A274="","",IF($A274=1,D$29*$F274*($C274-$C$28)/$K$17,
(D274*ROUND(($C274-VLOOKUP($A274-1,$A$28:$C274,3,0))/30,0)/12*$F274)
))</f>
        <v>0</v>
      </c>
      <c r="F274" s="107">
        <f t="shared" si="36"/>
        <v>0.06</v>
      </c>
      <c r="G274" s="795">
        <f t="shared" si="32"/>
        <v>0</v>
      </c>
      <c r="H274" s="795">
        <f t="shared" si="37"/>
        <v>0</v>
      </c>
      <c r="I274" s="795">
        <f t="shared" si="38"/>
        <v>0</v>
      </c>
      <c r="J274" s="795">
        <f t="shared" si="39"/>
        <v>0</v>
      </c>
      <c r="K274" s="108">
        <f t="shared" si="33"/>
        <v>2035</v>
      </c>
      <c r="L274" s="92" t="str">
        <f t="shared" si="34"/>
        <v/>
      </c>
    </row>
    <row r="275" spans="1:12" ht="12.75" customHeight="1">
      <c r="A275" s="90" t="str">
        <f>IF(B275&lt;&gt;"",MAX(A$28:A274)+1,IF(ISNA(HLOOKUP(DATE(YEAR($C$21),MONTH(C275),DAY(C275)),$C$21:$N$21,1,0)),"",MAX(A$28:A274)+1))</f>
        <v/>
      </c>
      <c r="B275" s="91" t="str">
        <f>IF(C275&lt;$K$16,"",IF(ISNA(HLOOKUP(DATE(YEAR($C$20),MONTH($C275),DAY($C275)),$C$20:$N$20,1,0)),"",MAX(B$28:B274)+1))</f>
        <v/>
      </c>
      <c r="C275" s="106">
        <f t="shared" si="40"/>
        <v>49521</v>
      </c>
      <c r="D275" s="795">
        <f t="shared" si="35"/>
        <v>0</v>
      </c>
      <c r="E275" s="795" t="str">
        <f>IF($A275="","",IF($A275=1,D$29*$F275*($C275-$C$28)/$K$17,
(D275*ROUND(($C275-VLOOKUP($A275-1,$A$28:$C275,3,0))/30,0)/12*$F275)
))</f>
        <v/>
      </c>
      <c r="F275" s="107">
        <f t="shared" si="36"/>
        <v>0.06</v>
      </c>
      <c r="G275" s="795">
        <f t="shared" si="32"/>
        <v>0</v>
      </c>
      <c r="H275" s="795">
        <f t="shared" si="37"/>
        <v>0</v>
      </c>
      <c r="I275" s="795">
        <f t="shared" si="38"/>
        <v>0</v>
      </c>
      <c r="J275" s="795">
        <f t="shared" si="39"/>
        <v>0</v>
      </c>
      <c r="K275" s="108">
        <f t="shared" si="33"/>
        <v>2035</v>
      </c>
      <c r="L275" s="92" t="str">
        <f t="shared" si="34"/>
        <v/>
      </c>
    </row>
    <row r="276" spans="1:12" ht="12.75" customHeight="1">
      <c r="A276" s="90" t="str">
        <f>IF(B276&lt;&gt;"",MAX(A$28:A275)+1,IF(ISNA(HLOOKUP(DATE(YEAR($C$21),MONTH(C276),DAY(C276)),$C$21:$N$21,1,0)),"",MAX(A$28:A275)+1))</f>
        <v/>
      </c>
      <c r="B276" s="91" t="str">
        <f>IF(C276&lt;$K$16,"",IF(ISNA(HLOOKUP(DATE(YEAR($C$20),MONTH($C276),DAY($C276)),$C$20:$N$20,1,0)),"",MAX(B$28:B275)+1))</f>
        <v/>
      </c>
      <c r="C276" s="106">
        <f t="shared" si="40"/>
        <v>49552</v>
      </c>
      <c r="D276" s="795">
        <f t="shared" si="35"/>
        <v>0</v>
      </c>
      <c r="E276" s="795" t="str">
        <f>IF($A276="","",IF($A276=1,D$29*$F276*($C276-$C$28)/$K$17,
(D276*ROUND(($C276-VLOOKUP($A276-1,$A$28:$C276,3,0))/30,0)/12*$F276)
))</f>
        <v/>
      </c>
      <c r="F276" s="107">
        <f t="shared" si="36"/>
        <v>0.06</v>
      </c>
      <c r="G276" s="795">
        <f t="shared" si="32"/>
        <v>0</v>
      </c>
      <c r="H276" s="795">
        <f t="shared" si="37"/>
        <v>0</v>
      </c>
      <c r="I276" s="795">
        <f t="shared" si="38"/>
        <v>0</v>
      </c>
      <c r="J276" s="795">
        <f t="shared" si="39"/>
        <v>0</v>
      </c>
      <c r="K276" s="108">
        <f t="shared" si="33"/>
        <v>2035</v>
      </c>
      <c r="L276" s="92" t="str">
        <f t="shared" si="34"/>
        <v/>
      </c>
    </row>
    <row r="277" spans="1:12" ht="12.75" customHeight="1">
      <c r="A277" s="90">
        <f>IF(B277&lt;&gt;"",MAX(A$28:A276)+1,IF(ISNA(HLOOKUP(DATE(YEAR($C$21),MONTH(C277),DAY(C277)),$C$21:$N$21,1,0)),"",MAX(A$28:A276)+1))</f>
        <v>83</v>
      </c>
      <c r="B277" s="91">
        <f>IF(C277&lt;$K$16,"",IF(ISNA(HLOOKUP(DATE(YEAR($C$20),MONTH($C277),DAY($C277)),$C$20:$N$20,1,0)),"",MAX(B$28:B276)+1))</f>
        <v>71</v>
      </c>
      <c r="C277" s="106">
        <f t="shared" si="40"/>
        <v>49582</v>
      </c>
      <c r="D277" s="795">
        <f t="shared" si="35"/>
        <v>0</v>
      </c>
      <c r="E277" s="795">
        <f>IF($A277="","",IF($A277=1,D$29*$F277*($C277-$C$28)/$K$17,
(D277*ROUND(($C277-VLOOKUP($A277-1,$A$28:$C277,3,0))/30,0)/12*$F277)
))</f>
        <v>0</v>
      </c>
      <c r="F277" s="107">
        <f t="shared" si="36"/>
        <v>0.06</v>
      </c>
      <c r="G277" s="795">
        <f t="shared" si="32"/>
        <v>0</v>
      </c>
      <c r="H277" s="795">
        <f t="shared" si="37"/>
        <v>0</v>
      </c>
      <c r="I277" s="795">
        <f t="shared" si="38"/>
        <v>0</v>
      </c>
      <c r="J277" s="795">
        <f t="shared" si="39"/>
        <v>0</v>
      </c>
      <c r="K277" s="108">
        <f t="shared" si="33"/>
        <v>2035</v>
      </c>
      <c r="L277" s="92" t="str">
        <f t="shared" si="34"/>
        <v/>
      </c>
    </row>
    <row r="278" spans="1:12" ht="12.75" customHeight="1">
      <c r="A278" s="90" t="str">
        <f>IF(B278&lt;&gt;"",MAX(A$28:A277)+1,IF(ISNA(HLOOKUP(DATE(YEAR($C$21),MONTH(C278),DAY(C278)),$C$21:$N$21,1,0)),"",MAX(A$28:A277)+1))</f>
        <v/>
      </c>
      <c r="B278" s="91" t="str">
        <f>IF(C278&lt;$K$16,"",IF(ISNA(HLOOKUP(DATE(YEAR($C$20),MONTH($C278),DAY($C278)),$C$20:$N$20,1,0)),"",MAX(B$28:B277)+1))</f>
        <v/>
      </c>
      <c r="C278" s="106">
        <f t="shared" si="40"/>
        <v>49613</v>
      </c>
      <c r="D278" s="795">
        <f t="shared" si="35"/>
        <v>0</v>
      </c>
      <c r="E278" s="795" t="str">
        <f>IF($A278="","",IF($A278=1,D$29*$F278*($C278-$C$28)/$K$17,
(D278*ROUND(($C278-VLOOKUP($A278-1,$A$28:$C278,3,0))/30,0)/12*$F278)
))</f>
        <v/>
      </c>
      <c r="F278" s="107">
        <f t="shared" si="36"/>
        <v>0.06</v>
      </c>
      <c r="G278" s="795">
        <f t="shared" si="32"/>
        <v>0</v>
      </c>
      <c r="H278" s="795">
        <f t="shared" si="37"/>
        <v>0</v>
      </c>
      <c r="I278" s="795">
        <f t="shared" si="38"/>
        <v>0</v>
      </c>
      <c r="J278" s="795">
        <f t="shared" si="39"/>
        <v>0</v>
      </c>
      <c r="K278" s="108">
        <f t="shared" si="33"/>
        <v>2035</v>
      </c>
      <c r="L278" s="92" t="str">
        <f t="shared" si="34"/>
        <v/>
      </c>
    </row>
    <row r="279" spans="1:12" ht="12.75" customHeight="1">
      <c r="A279" s="90" t="str">
        <f>IF(B279&lt;&gt;"",MAX(A$28:A278)+1,IF(ISNA(HLOOKUP(DATE(YEAR($C$21),MONTH(C279),DAY(C279)),$C$21:$N$21,1,0)),"",MAX(A$28:A278)+1))</f>
        <v/>
      </c>
      <c r="B279" s="91" t="str">
        <f>IF(C279&lt;$K$16,"",IF(ISNA(HLOOKUP(DATE(YEAR($C$20),MONTH($C279),DAY($C279)),$C$20:$N$20,1,0)),"",MAX(B$28:B278)+1))</f>
        <v/>
      </c>
      <c r="C279" s="106">
        <f t="shared" si="40"/>
        <v>49643</v>
      </c>
      <c r="D279" s="795">
        <f t="shared" si="35"/>
        <v>0</v>
      </c>
      <c r="E279" s="795" t="str">
        <f>IF($A279="","",IF($A279=1,D$29*$F279*($C279-$C$28)/$K$17,
(D279*ROUND(($C279-VLOOKUP($A279-1,$A$28:$C279,3,0))/30,0)/12*$F279)
))</f>
        <v/>
      </c>
      <c r="F279" s="107">
        <f t="shared" si="36"/>
        <v>0.06</v>
      </c>
      <c r="G279" s="795">
        <f t="shared" si="32"/>
        <v>0</v>
      </c>
      <c r="H279" s="795">
        <f t="shared" si="37"/>
        <v>0</v>
      </c>
      <c r="I279" s="795">
        <f t="shared" si="38"/>
        <v>0</v>
      </c>
      <c r="J279" s="795">
        <f t="shared" si="39"/>
        <v>0</v>
      </c>
      <c r="K279" s="108">
        <f t="shared" si="33"/>
        <v>2035</v>
      </c>
      <c r="L279" s="92" t="str">
        <f t="shared" si="34"/>
        <v/>
      </c>
    </row>
    <row r="280" spans="1:12" ht="12.75" customHeight="1">
      <c r="A280" s="90">
        <f>IF(B280&lt;&gt;"",MAX(A$28:A279)+1,IF(ISNA(HLOOKUP(DATE(YEAR($C$21),MONTH(C280),DAY(C280)),$C$21:$N$21,1,0)),"",MAX(A$28:A279)+1))</f>
        <v>84</v>
      </c>
      <c r="B280" s="91">
        <f>IF(C280&lt;$K$16,"",IF(ISNA(HLOOKUP(DATE(YEAR($C$20),MONTH($C280),DAY($C280)),$C$20:$N$20,1,0)),"",MAX(B$28:B279)+1))</f>
        <v>72</v>
      </c>
      <c r="C280" s="106">
        <f t="shared" si="40"/>
        <v>49674</v>
      </c>
      <c r="D280" s="795">
        <f t="shared" si="35"/>
        <v>0</v>
      </c>
      <c r="E280" s="795">
        <f>IF($A280="","",IF($A280=1,D$29*$F280*($C280-$C$28)/$K$17,
(D280*ROUND(($C280-VLOOKUP($A280-1,$A$28:$C280,3,0))/30,0)/12*$F280)
))</f>
        <v>0</v>
      </c>
      <c r="F280" s="107">
        <f t="shared" si="36"/>
        <v>0.06</v>
      </c>
      <c r="G280" s="795">
        <f t="shared" si="32"/>
        <v>0</v>
      </c>
      <c r="H280" s="795">
        <f t="shared" si="37"/>
        <v>0</v>
      </c>
      <c r="I280" s="795">
        <f t="shared" si="38"/>
        <v>0</v>
      </c>
      <c r="J280" s="795">
        <f t="shared" si="39"/>
        <v>0</v>
      </c>
      <c r="K280" s="108">
        <f t="shared" si="33"/>
        <v>2035</v>
      </c>
      <c r="L280" s="92" t="str">
        <f t="shared" si="34"/>
        <v/>
      </c>
    </row>
    <row r="281" spans="1:12" ht="12.75" customHeight="1">
      <c r="A281" s="90" t="str">
        <f>IF(B281&lt;&gt;"",MAX(A$28:A280)+1,IF(ISNA(HLOOKUP(DATE(YEAR($C$21),MONTH(C281),DAY(C281)),$C$21:$N$21,1,0)),"",MAX(A$28:A280)+1))</f>
        <v/>
      </c>
      <c r="B281" s="91" t="str">
        <f>IF(C281&lt;$K$16,"",IF(ISNA(HLOOKUP(DATE(YEAR($C$20),MONTH($C281),DAY($C281)),$C$20:$N$20,1,0)),"",MAX(B$28:B280)+1))</f>
        <v/>
      </c>
      <c r="C281" s="106">
        <f t="shared" si="40"/>
        <v>49705</v>
      </c>
      <c r="D281" s="795">
        <f t="shared" si="35"/>
        <v>0</v>
      </c>
      <c r="E281" s="795" t="str">
        <f>IF($A281="","",IF($A281=1,D$29*$F281*($C281-$C$28)/$K$17,
(D281*ROUND(($C281-VLOOKUP($A281-1,$A$28:$C281,3,0))/30,0)/12*$F281)
))</f>
        <v/>
      </c>
      <c r="F281" s="107">
        <f t="shared" si="36"/>
        <v>0.06</v>
      </c>
      <c r="G281" s="795">
        <f t="shared" si="32"/>
        <v>0</v>
      </c>
      <c r="H281" s="795">
        <f t="shared" si="37"/>
        <v>0</v>
      </c>
      <c r="I281" s="795">
        <f t="shared" si="38"/>
        <v>0</v>
      </c>
      <c r="J281" s="795">
        <f t="shared" si="39"/>
        <v>0</v>
      </c>
      <c r="K281" s="108">
        <f t="shared" si="33"/>
        <v>2036</v>
      </c>
      <c r="L281" s="92" t="str">
        <f t="shared" si="34"/>
        <v/>
      </c>
    </row>
    <row r="282" spans="1:12" ht="12.75" customHeight="1">
      <c r="A282" s="90" t="str">
        <f>IF(B282&lt;&gt;"",MAX(A$28:A281)+1,IF(ISNA(HLOOKUP(DATE(YEAR($C$21),MONTH(C282),DAY(C282)),$C$21:$N$21,1,0)),"",MAX(A$28:A281)+1))</f>
        <v/>
      </c>
      <c r="B282" s="91" t="str">
        <f>IF(C282&lt;$K$16,"",IF(ISNA(HLOOKUP(DATE(YEAR($C$20),MONTH($C282),DAY($C282)),$C$20:$N$20,1,0)),"",MAX(B$28:B281)+1))</f>
        <v/>
      </c>
      <c r="C282" s="106">
        <f t="shared" si="40"/>
        <v>49734</v>
      </c>
      <c r="D282" s="795">
        <f t="shared" si="35"/>
        <v>0</v>
      </c>
      <c r="E282" s="795" t="str">
        <f>IF($A282="","",IF($A282=1,D$29*$F282*($C282-$C$28)/$K$17,
(D282*ROUND(($C282-VLOOKUP($A282-1,$A$28:$C282,3,0))/30,0)/12*$F282)
))</f>
        <v/>
      </c>
      <c r="F282" s="107">
        <f t="shared" si="36"/>
        <v>0.06</v>
      </c>
      <c r="G282" s="795">
        <f t="shared" si="32"/>
        <v>0</v>
      </c>
      <c r="H282" s="795">
        <f t="shared" si="37"/>
        <v>0</v>
      </c>
      <c r="I282" s="795">
        <f t="shared" si="38"/>
        <v>0</v>
      </c>
      <c r="J282" s="795">
        <f t="shared" si="39"/>
        <v>0</v>
      </c>
      <c r="K282" s="108">
        <f t="shared" si="33"/>
        <v>2036</v>
      </c>
      <c r="L282" s="92" t="str">
        <f t="shared" si="34"/>
        <v/>
      </c>
    </row>
    <row r="283" spans="1:12" ht="12.75" customHeight="1">
      <c r="A283" s="90">
        <f>IF(B283&lt;&gt;"",MAX(A$28:A282)+1,IF(ISNA(HLOOKUP(DATE(YEAR($C$21),MONTH(C283),DAY(C283)),$C$21:$N$21,1,0)),"",MAX(A$28:A282)+1))</f>
        <v>85</v>
      </c>
      <c r="B283" s="91">
        <f>IF(C283&lt;$K$16,"",IF(ISNA(HLOOKUP(DATE(YEAR($C$20),MONTH($C283),DAY($C283)),$C$20:$N$20,1,0)),"",MAX(B$28:B282)+1))</f>
        <v>73</v>
      </c>
      <c r="C283" s="106">
        <f t="shared" si="40"/>
        <v>49765</v>
      </c>
      <c r="D283" s="795">
        <f t="shared" si="35"/>
        <v>0</v>
      </c>
      <c r="E283" s="795">
        <f>IF($A283="","",IF($A283=1,D$29*$F283*($C283-$C$28)/$K$17,
(D283*ROUND(($C283-VLOOKUP($A283-1,$A$28:$C283,3,0))/30,0)/12*$F283)
))</f>
        <v>0</v>
      </c>
      <c r="F283" s="107">
        <f t="shared" si="36"/>
        <v>0.06</v>
      </c>
      <c r="G283" s="795">
        <f t="shared" si="32"/>
        <v>0</v>
      </c>
      <c r="H283" s="795">
        <f t="shared" si="37"/>
        <v>0</v>
      </c>
      <c r="I283" s="795">
        <f t="shared" si="38"/>
        <v>0</v>
      </c>
      <c r="J283" s="795">
        <f t="shared" si="39"/>
        <v>0</v>
      </c>
      <c r="K283" s="108">
        <f t="shared" si="33"/>
        <v>2036</v>
      </c>
      <c r="L283" s="92" t="str">
        <f t="shared" si="34"/>
        <v/>
      </c>
    </row>
    <row r="284" spans="1:12" ht="12.75" customHeight="1">
      <c r="A284" s="90" t="str">
        <f>IF(B284&lt;&gt;"",MAX(A$28:A283)+1,IF(ISNA(HLOOKUP(DATE(YEAR($C$21),MONTH(C284),DAY(C284)),$C$21:$N$21,1,0)),"",MAX(A$28:A283)+1))</f>
        <v/>
      </c>
      <c r="B284" s="91" t="str">
        <f>IF(C284&lt;$K$16,"",IF(ISNA(HLOOKUP(DATE(YEAR($C$20),MONTH($C284),DAY($C284)),$C$20:$N$20,1,0)),"",MAX(B$28:B283)+1))</f>
        <v/>
      </c>
      <c r="C284" s="106">
        <f t="shared" si="40"/>
        <v>49795</v>
      </c>
      <c r="D284" s="795">
        <f t="shared" si="35"/>
        <v>0</v>
      </c>
      <c r="E284" s="795" t="str">
        <f>IF($A284="","",IF($A284=1,D$29*$F284*($C284-$C$28)/$K$17,
(D284*ROUND(($C284-VLOOKUP($A284-1,$A$28:$C284,3,0))/30,0)/12*$F284)
))</f>
        <v/>
      </c>
      <c r="F284" s="107">
        <f t="shared" si="36"/>
        <v>0.06</v>
      </c>
      <c r="G284" s="795">
        <f t="shared" ref="G284:G347" si="41">IF($A$26=1,I284,H284)</f>
        <v>0</v>
      </c>
      <c r="H284" s="795">
        <f t="shared" si="37"/>
        <v>0</v>
      </c>
      <c r="I284" s="795">
        <f t="shared" si="38"/>
        <v>0</v>
      </c>
      <c r="J284" s="795">
        <f t="shared" si="39"/>
        <v>0</v>
      </c>
      <c r="K284" s="108">
        <f t="shared" ref="K284:K347" si="42">YEAR(C284)</f>
        <v>2036</v>
      </c>
      <c r="L284" s="92" t="str">
        <f t="shared" ref="L284:L347" si="43">IF(AND(D284&gt;1,D285&lt;1),C284,"")</f>
        <v/>
      </c>
    </row>
    <row r="285" spans="1:12" ht="12.75" customHeight="1">
      <c r="A285" s="90" t="str">
        <f>IF(B285&lt;&gt;"",MAX(A$28:A284)+1,IF(ISNA(HLOOKUP(DATE(YEAR($C$21),MONTH(C285),DAY(C285)),$C$21:$N$21,1,0)),"",MAX(A$28:A284)+1))</f>
        <v/>
      </c>
      <c r="B285" s="91" t="str">
        <f>IF(C285&lt;$K$16,"",IF(ISNA(HLOOKUP(DATE(YEAR($C$20),MONTH($C285),DAY($C285)),$C$20:$N$20,1,0)),"",MAX(B$28:B284)+1))</f>
        <v/>
      </c>
      <c r="C285" s="106">
        <f t="shared" si="40"/>
        <v>49826</v>
      </c>
      <c r="D285" s="795">
        <f t="shared" ref="D285:D348" si="44">D284-G284</f>
        <v>0</v>
      </c>
      <c r="E285" s="795" t="str">
        <f>IF($A285="","",IF($A285=1,D$29*$F285*($C285-$C$28)/$K$17,
(D285*ROUND(($C285-VLOOKUP($A285-1,$A$28:$C285,3,0))/30,0)/12*$F285)
))</f>
        <v/>
      </c>
      <c r="F285" s="107">
        <f t="shared" ref="F285:F348" si="45">IF(C285&gt;=$E$16,$E$15,$C$15)</f>
        <v>0.06</v>
      </c>
      <c r="G285" s="795">
        <f t="shared" si="41"/>
        <v>0</v>
      </c>
      <c r="H285" s="795">
        <f t="shared" ref="H285:H348" si="46">IF(B285="",0,MIN(D285,$E$14*$K$15/$H$16))</f>
        <v>0</v>
      </c>
      <c r="I285" s="795">
        <f t="shared" ref="I285:I348" si="47">IF(B285="",0,MIN(D284,IF(C285&gt;$E$16,$H$18,$H$15)/$H$16-E285))</f>
        <v>0</v>
      </c>
      <c r="J285" s="795">
        <f t="shared" ref="J285:J348" si="48">SUM(E285,G285)</f>
        <v>0</v>
      </c>
      <c r="K285" s="108">
        <f t="shared" si="42"/>
        <v>2036</v>
      </c>
      <c r="L285" s="92" t="str">
        <f t="shared" si="43"/>
        <v/>
      </c>
    </row>
    <row r="286" spans="1:12" ht="12.75" customHeight="1">
      <c r="A286" s="90">
        <f>IF(B286&lt;&gt;"",MAX(A$28:A285)+1,IF(ISNA(HLOOKUP(DATE(YEAR($C$21),MONTH(C286),DAY(C286)),$C$21:$N$21,1,0)),"",MAX(A$28:A285)+1))</f>
        <v>86</v>
      </c>
      <c r="B286" s="91">
        <f>IF(C286&lt;$K$16,"",IF(ISNA(HLOOKUP(DATE(YEAR($C$20),MONTH($C286),DAY($C286)),$C$20:$N$20,1,0)),"",MAX(B$28:B285)+1))</f>
        <v>74</v>
      </c>
      <c r="C286" s="106">
        <f t="shared" ref="C286:C349" si="49">DATE(YEAR(C285),MONTH(C285)+2,1)-1</f>
        <v>49856</v>
      </c>
      <c r="D286" s="795">
        <f t="shared" si="44"/>
        <v>0</v>
      </c>
      <c r="E286" s="795">
        <f>IF($A286="","",IF($A286=1,D$29*$F286*($C286-$C$28)/$K$17,
(D286*ROUND(($C286-VLOOKUP($A286-1,$A$28:$C286,3,0))/30,0)/12*$F286)
))</f>
        <v>0</v>
      </c>
      <c r="F286" s="107">
        <f t="shared" si="45"/>
        <v>0.06</v>
      </c>
      <c r="G286" s="795">
        <f t="shared" si="41"/>
        <v>0</v>
      </c>
      <c r="H286" s="795">
        <f t="shared" si="46"/>
        <v>0</v>
      </c>
      <c r="I286" s="795">
        <f t="shared" si="47"/>
        <v>0</v>
      </c>
      <c r="J286" s="795">
        <f t="shared" si="48"/>
        <v>0</v>
      </c>
      <c r="K286" s="108">
        <f t="shared" si="42"/>
        <v>2036</v>
      </c>
      <c r="L286" s="92" t="str">
        <f t="shared" si="43"/>
        <v/>
      </c>
    </row>
    <row r="287" spans="1:12" ht="12.75" customHeight="1">
      <c r="A287" s="90" t="str">
        <f>IF(B287&lt;&gt;"",MAX(A$28:A286)+1,IF(ISNA(HLOOKUP(DATE(YEAR($C$21),MONTH(C287),DAY(C287)),$C$21:$N$21,1,0)),"",MAX(A$28:A286)+1))</f>
        <v/>
      </c>
      <c r="B287" s="91" t="str">
        <f>IF(C287&lt;$K$16,"",IF(ISNA(HLOOKUP(DATE(YEAR($C$20),MONTH($C287),DAY($C287)),$C$20:$N$20,1,0)),"",MAX(B$28:B286)+1))</f>
        <v/>
      </c>
      <c r="C287" s="106">
        <f t="shared" si="49"/>
        <v>49887</v>
      </c>
      <c r="D287" s="795">
        <f t="shared" si="44"/>
        <v>0</v>
      </c>
      <c r="E287" s="795" t="str">
        <f>IF($A287="","",IF($A287=1,D$29*$F287*($C287-$C$28)/$K$17,
(D287*ROUND(($C287-VLOOKUP($A287-1,$A$28:$C287,3,0))/30,0)/12*$F287)
))</f>
        <v/>
      </c>
      <c r="F287" s="107">
        <f t="shared" si="45"/>
        <v>0.06</v>
      </c>
      <c r="G287" s="795">
        <f t="shared" si="41"/>
        <v>0</v>
      </c>
      <c r="H287" s="795">
        <f t="shared" si="46"/>
        <v>0</v>
      </c>
      <c r="I287" s="795">
        <f t="shared" si="47"/>
        <v>0</v>
      </c>
      <c r="J287" s="795">
        <f t="shared" si="48"/>
        <v>0</v>
      </c>
      <c r="K287" s="108">
        <f t="shared" si="42"/>
        <v>2036</v>
      </c>
      <c r="L287" s="92" t="str">
        <f t="shared" si="43"/>
        <v/>
      </c>
    </row>
    <row r="288" spans="1:12" ht="12.75" customHeight="1">
      <c r="A288" s="90" t="str">
        <f>IF(B288&lt;&gt;"",MAX(A$28:A287)+1,IF(ISNA(HLOOKUP(DATE(YEAR($C$21),MONTH(C288),DAY(C288)),$C$21:$N$21,1,0)),"",MAX(A$28:A287)+1))</f>
        <v/>
      </c>
      <c r="B288" s="91" t="str">
        <f>IF(C288&lt;$K$16,"",IF(ISNA(HLOOKUP(DATE(YEAR($C$20),MONTH($C288),DAY($C288)),$C$20:$N$20,1,0)),"",MAX(B$28:B287)+1))</f>
        <v/>
      </c>
      <c r="C288" s="106">
        <f t="shared" si="49"/>
        <v>49918</v>
      </c>
      <c r="D288" s="795">
        <f t="shared" si="44"/>
        <v>0</v>
      </c>
      <c r="E288" s="795" t="str">
        <f>IF($A288="","",IF($A288=1,D$29*$F288*($C288-$C$28)/$K$17,
(D288*ROUND(($C288-VLOOKUP($A288-1,$A$28:$C288,3,0))/30,0)/12*$F288)
))</f>
        <v/>
      </c>
      <c r="F288" s="107">
        <f t="shared" si="45"/>
        <v>0.06</v>
      </c>
      <c r="G288" s="795">
        <f t="shared" si="41"/>
        <v>0</v>
      </c>
      <c r="H288" s="795">
        <f t="shared" si="46"/>
        <v>0</v>
      </c>
      <c r="I288" s="795">
        <f t="shared" si="47"/>
        <v>0</v>
      </c>
      <c r="J288" s="795">
        <f t="shared" si="48"/>
        <v>0</v>
      </c>
      <c r="K288" s="108">
        <f t="shared" si="42"/>
        <v>2036</v>
      </c>
      <c r="L288" s="92" t="str">
        <f t="shared" si="43"/>
        <v/>
      </c>
    </row>
    <row r="289" spans="1:12" ht="12.75" customHeight="1">
      <c r="A289" s="90">
        <f>IF(B289&lt;&gt;"",MAX(A$28:A288)+1,IF(ISNA(HLOOKUP(DATE(YEAR($C$21),MONTH(C289),DAY(C289)),$C$21:$N$21,1,0)),"",MAX(A$28:A288)+1))</f>
        <v>87</v>
      </c>
      <c r="B289" s="91">
        <f>IF(C289&lt;$K$16,"",IF(ISNA(HLOOKUP(DATE(YEAR($C$20),MONTH($C289),DAY($C289)),$C$20:$N$20,1,0)),"",MAX(B$28:B288)+1))</f>
        <v>75</v>
      </c>
      <c r="C289" s="106">
        <f t="shared" si="49"/>
        <v>49948</v>
      </c>
      <c r="D289" s="795">
        <f t="shared" si="44"/>
        <v>0</v>
      </c>
      <c r="E289" s="795">
        <f>IF($A289="","",IF($A289=1,D$29*$F289*($C289-$C$28)/$K$17,
(D289*ROUND(($C289-VLOOKUP($A289-1,$A$28:$C289,3,0))/30,0)/12*$F289)
))</f>
        <v>0</v>
      </c>
      <c r="F289" s="107">
        <f t="shared" si="45"/>
        <v>0.06</v>
      </c>
      <c r="G289" s="795">
        <f t="shared" si="41"/>
        <v>0</v>
      </c>
      <c r="H289" s="795">
        <f t="shared" si="46"/>
        <v>0</v>
      </c>
      <c r="I289" s="795">
        <f t="shared" si="47"/>
        <v>0</v>
      </c>
      <c r="J289" s="795">
        <f t="shared" si="48"/>
        <v>0</v>
      </c>
      <c r="K289" s="108">
        <f t="shared" si="42"/>
        <v>2036</v>
      </c>
      <c r="L289" s="92" t="str">
        <f t="shared" si="43"/>
        <v/>
      </c>
    </row>
    <row r="290" spans="1:12" ht="12.75" customHeight="1">
      <c r="A290" s="90" t="str">
        <f>IF(B290&lt;&gt;"",MAX(A$28:A289)+1,IF(ISNA(HLOOKUP(DATE(YEAR($C$21),MONTH(C290),DAY(C290)),$C$21:$N$21,1,0)),"",MAX(A$28:A289)+1))</f>
        <v/>
      </c>
      <c r="B290" s="91" t="str">
        <f>IF(C290&lt;$K$16,"",IF(ISNA(HLOOKUP(DATE(YEAR($C$20),MONTH($C290),DAY($C290)),$C$20:$N$20,1,0)),"",MAX(B$28:B289)+1))</f>
        <v/>
      </c>
      <c r="C290" s="106">
        <f t="shared" si="49"/>
        <v>49979</v>
      </c>
      <c r="D290" s="795">
        <f t="shared" si="44"/>
        <v>0</v>
      </c>
      <c r="E290" s="795" t="str">
        <f>IF($A290="","",IF($A290=1,D$29*$F290*($C290-$C$28)/$K$17,
(D290*ROUND(($C290-VLOOKUP($A290-1,$A$28:$C290,3,0))/30,0)/12*$F290)
))</f>
        <v/>
      </c>
      <c r="F290" s="107">
        <f t="shared" si="45"/>
        <v>0.06</v>
      </c>
      <c r="G290" s="795">
        <f t="shared" si="41"/>
        <v>0</v>
      </c>
      <c r="H290" s="795">
        <f t="shared" si="46"/>
        <v>0</v>
      </c>
      <c r="I290" s="795">
        <f t="shared" si="47"/>
        <v>0</v>
      </c>
      <c r="J290" s="795">
        <f t="shared" si="48"/>
        <v>0</v>
      </c>
      <c r="K290" s="108">
        <f t="shared" si="42"/>
        <v>2036</v>
      </c>
      <c r="L290" s="92" t="str">
        <f t="shared" si="43"/>
        <v/>
      </c>
    </row>
    <row r="291" spans="1:12" ht="12.75" customHeight="1">
      <c r="A291" s="90" t="str">
        <f>IF(B291&lt;&gt;"",MAX(A$28:A290)+1,IF(ISNA(HLOOKUP(DATE(YEAR($C$21),MONTH(C291),DAY(C291)),$C$21:$N$21,1,0)),"",MAX(A$28:A290)+1))</f>
        <v/>
      </c>
      <c r="B291" s="91" t="str">
        <f>IF(C291&lt;$K$16,"",IF(ISNA(HLOOKUP(DATE(YEAR($C$20),MONTH($C291),DAY($C291)),$C$20:$N$20,1,0)),"",MAX(B$28:B290)+1))</f>
        <v/>
      </c>
      <c r="C291" s="106">
        <f t="shared" si="49"/>
        <v>50009</v>
      </c>
      <c r="D291" s="795">
        <f t="shared" si="44"/>
        <v>0</v>
      </c>
      <c r="E291" s="795" t="str">
        <f>IF($A291="","",IF($A291=1,D$29*$F291*($C291-$C$28)/$K$17,
(D291*ROUND(($C291-VLOOKUP($A291-1,$A$28:$C291,3,0))/30,0)/12*$F291)
))</f>
        <v/>
      </c>
      <c r="F291" s="107">
        <f t="shared" si="45"/>
        <v>0.06</v>
      </c>
      <c r="G291" s="795">
        <f t="shared" si="41"/>
        <v>0</v>
      </c>
      <c r="H291" s="795">
        <f t="shared" si="46"/>
        <v>0</v>
      </c>
      <c r="I291" s="795">
        <f t="shared" si="47"/>
        <v>0</v>
      </c>
      <c r="J291" s="795">
        <f t="shared" si="48"/>
        <v>0</v>
      </c>
      <c r="K291" s="108">
        <f t="shared" si="42"/>
        <v>2036</v>
      </c>
      <c r="L291" s="92" t="str">
        <f t="shared" si="43"/>
        <v/>
      </c>
    </row>
    <row r="292" spans="1:12" ht="12.75" customHeight="1">
      <c r="A292" s="90">
        <f>IF(B292&lt;&gt;"",MAX(A$28:A291)+1,IF(ISNA(HLOOKUP(DATE(YEAR($C$21),MONTH(C292),DAY(C292)),$C$21:$N$21,1,0)),"",MAX(A$28:A291)+1))</f>
        <v>88</v>
      </c>
      <c r="B292" s="91">
        <f>IF(C292&lt;$K$16,"",IF(ISNA(HLOOKUP(DATE(YEAR($C$20),MONTH($C292),DAY($C292)),$C$20:$N$20,1,0)),"",MAX(B$28:B291)+1))</f>
        <v>76</v>
      </c>
      <c r="C292" s="106">
        <f t="shared" si="49"/>
        <v>50040</v>
      </c>
      <c r="D292" s="795">
        <f t="shared" si="44"/>
        <v>0</v>
      </c>
      <c r="E292" s="795">
        <f>IF($A292="","",IF($A292=1,D$29*$F292*($C292-$C$28)/$K$17,
(D292*ROUND(($C292-VLOOKUP($A292-1,$A$28:$C292,3,0))/30,0)/12*$F292)
))</f>
        <v>0</v>
      </c>
      <c r="F292" s="107">
        <f t="shared" si="45"/>
        <v>0.06</v>
      </c>
      <c r="G292" s="795">
        <f t="shared" si="41"/>
        <v>0</v>
      </c>
      <c r="H292" s="795">
        <f t="shared" si="46"/>
        <v>0</v>
      </c>
      <c r="I292" s="795">
        <f t="shared" si="47"/>
        <v>0</v>
      </c>
      <c r="J292" s="795">
        <f t="shared" si="48"/>
        <v>0</v>
      </c>
      <c r="K292" s="108">
        <f t="shared" si="42"/>
        <v>2036</v>
      </c>
      <c r="L292" s="92" t="str">
        <f t="shared" si="43"/>
        <v/>
      </c>
    </row>
    <row r="293" spans="1:12" ht="12.75" customHeight="1">
      <c r="A293" s="90" t="str">
        <f>IF(B293&lt;&gt;"",MAX(A$28:A292)+1,IF(ISNA(HLOOKUP(DATE(YEAR($C$21),MONTH(C293),DAY(C293)),$C$21:$N$21,1,0)),"",MAX(A$28:A292)+1))</f>
        <v/>
      </c>
      <c r="B293" s="91" t="str">
        <f>IF(C293&lt;$K$16,"",IF(ISNA(HLOOKUP(DATE(YEAR($C$20),MONTH($C293),DAY($C293)),$C$20:$N$20,1,0)),"",MAX(B$28:B292)+1))</f>
        <v/>
      </c>
      <c r="C293" s="106">
        <f t="shared" si="49"/>
        <v>50071</v>
      </c>
      <c r="D293" s="795">
        <f t="shared" si="44"/>
        <v>0</v>
      </c>
      <c r="E293" s="795" t="str">
        <f>IF($A293="","",IF($A293=1,D$29*$F293*($C293-$C$28)/$K$17,
(D293*ROUND(($C293-VLOOKUP($A293-1,$A$28:$C293,3,0))/30,0)/12*$F293)
))</f>
        <v/>
      </c>
      <c r="F293" s="107">
        <f t="shared" si="45"/>
        <v>0.06</v>
      </c>
      <c r="G293" s="795">
        <f t="shared" si="41"/>
        <v>0</v>
      </c>
      <c r="H293" s="795">
        <f t="shared" si="46"/>
        <v>0</v>
      </c>
      <c r="I293" s="795">
        <f t="shared" si="47"/>
        <v>0</v>
      </c>
      <c r="J293" s="795">
        <f t="shared" si="48"/>
        <v>0</v>
      </c>
      <c r="K293" s="108">
        <f t="shared" si="42"/>
        <v>2037</v>
      </c>
      <c r="L293" s="92" t="str">
        <f t="shared" si="43"/>
        <v/>
      </c>
    </row>
    <row r="294" spans="1:12" ht="12.75" customHeight="1">
      <c r="A294" s="90" t="str">
        <f>IF(B294&lt;&gt;"",MAX(A$28:A293)+1,IF(ISNA(HLOOKUP(DATE(YEAR($C$21),MONTH(C294),DAY(C294)),$C$21:$N$21,1,0)),"",MAX(A$28:A293)+1))</f>
        <v/>
      </c>
      <c r="B294" s="91" t="str">
        <f>IF(C294&lt;$K$16,"",IF(ISNA(HLOOKUP(DATE(YEAR($C$20),MONTH($C294),DAY($C294)),$C$20:$N$20,1,0)),"",MAX(B$28:B293)+1))</f>
        <v/>
      </c>
      <c r="C294" s="106">
        <f t="shared" si="49"/>
        <v>50099</v>
      </c>
      <c r="D294" s="795">
        <f t="shared" si="44"/>
        <v>0</v>
      </c>
      <c r="E294" s="795" t="str">
        <f>IF($A294="","",IF($A294=1,D$29*$F294*($C294-$C$28)/$K$17,
(D294*ROUND(($C294-VLOOKUP($A294-1,$A$28:$C294,3,0))/30,0)/12*$F294)
))</f>
        <v/>
      </c>
      <c r="F294" s="107">
        <f t="shared" si="45"/>
        <v>0.06</v>
      </c>
      <c r="G294" s="795">
        <f t="shared" si="41"/>
        <v>0</v>
      </c>
      <c r="H294" s="795">
        <f t="shared" si="46"/>
        <v>0</v>
      </c>
      <c r="I294" s="795">
        <f t="shared" si="47"/>
        <v>0</v>
      </c>
      <c r="J294" s="795">
        <f t="shared" si="48"/>
        <v>0</v>
      </c>
      <c r="K294" s="108">
        <f t="shared" si="42"/>
        <v>2037</v>
      </c>
      <c r="L294" s="92" t="str">
        <f t="shared" si="43"/>
        <v/>
      </c>
    </row>
    <row r="295" spans="1:12" ht="12.75" customHeight="1">
      <c r="A295" s="90">
        <f>IF(B295&lt;&gt;"",MAX(A$28:A294)+1,IF(ISNA(HLOOKUP(DATE(YEAR($C$21),MONTH(C295),DAY(C295)),$C$21:$N$21,1,0)),"",MAX(A$28:A294)+1))</f>
        <v>89</v>
      </c>
      <c r="B295" s="91">
        <f>IF(C295&lt;$K$16,"",IF(ISNA(HLOOKUP(DATE(YEAR($C$20),MONTH($C295),DAY($C295)),$C$20:$N$20,1,0)),"",MAX(B$28:B294)+1))</f>
        <v>77</v>
      </c>
      <c r="C295" s="106">
        <f t="shared" si="49"/>
        <v>50130</v>
      </c>
      <c r="D295" s="795">
        <f t="shared" si="44"/>
        <v>0</v>
      </c>
      <c r="E295" s="795">
        <f>IF($A295="","",IF($A295=1,D$29*$F295*($C295-$C$28)/$K$17,
(D295*ROUND(($C295-VLOOKUP($A295-1,$A$28:$C295,3,0))/30,0)/12*$F295)
))</f>
        <v>0</v>
      </c>
      <c r="F295" s="107">
        <f t="shared" si="45"/>
        <v>0.06</v>
      </c>
      <c r="G295" s="795">
        <f t="shared" si="41"/>
        <v>0</v>
      </c>
      <c r="H295" s="795">
        <f t="shared" si="46"/>
        <v>0</v>
      </c>
      <c r="I295" s="795">
        <f t="shared" si="47"/>
        <v>0</v>
      </c>
      <c r="J295" s="795">
        <f t="shared" si="48"/>
        <v>0</v>
      </c>
      <c r="K295" s="108">
        <f t="shared" si="42"/>
        <v>2037</v>
      </c>
      <c r="L295" s="92" t="str">
        <f t="shared" si="43"/>
        <v/>
      </c>
    </row>
    <row r="296" spans="1:12" ht="12.75" customHeight="1">
      <c r="A296" s="90" t="str">
        <f>IF(B296&lt;&gt;"",MAX(A$28:A295)+1,IF(ISNA(HLOOKUP(DATE(YEAR($C$21),MONTH(C296),DAY(C296)),$C$21:$N$21,1,0)),"",MAX(A$28:A295)+1))</f>
        <v/>
      </c>
      <c r="B296" s="91" t="str">
        <f>IF(C296&lt;$K$16,"",IF(ISNA(HLOOKUP(DATE(YEAR($C$20),MONTH($C296),DAY($C296)),$C$20:$N$20,1,0)),"",MAX(B$28:B295)+1))</f>
        <v/>
      </c>
      <c r="C296" s="106">
        <f t="shared" si="49"/>
        <v>50160</v>
      </c>
      <c r="D296" s="795">
        <f t="shared" si="44"/>
        <v>0</v>
      </c>
      <c r="E296" s="795" t="str">
        <f>IF($A296="","",IF($A296=1,D$29*$F296*($C296-$C$28)/$K$17,
(D296*ROUND(($C296-VLOOKUP($A296-1,$A$28:$C296,3,0))/30,0)/12*$F296)
))</f>
        <v/>
      </c>
      <c r="F296" s="107">
        <f t="shared" si="45"/>
        <v>0.06</v>
      </c>
      <c r="G296" s="795">
        <f t="shared" si="41"/>
        <v>0</v>
      </c>
      <c r="H296" s="795">
        <f t="shared" si="46"/>
        <v>0</v>
      </c>
      <c r="I296" s="795">
        <f t="shared" si="47"/>
        <v>0</v>
      </c>
      <c r="J296" s="795">
        <f t="shared" si="48"/>
        <v>0</v>
      </c>
      <c r="K296" s="108">
        <f t="shared" si="42"/>
        <v>2037</v>
      </c>
      <c r="L296" s="92" t="str">
        <f t="shared" si="43"/>
        <v/>
      </c>
    </row>
    <row r="297" spans="1:12" ht="12.75" customHeight="1">
      <c r="A297" s="90" t="str">
        <f>IF(B297&lt;&gt;"",MAX(A$28:A296)+1,IF(ISNA(HLOOKUP(DATE(YEAR($C$21),MONTH(C297),DAY(C297)),$C$21:$N$21,1,0)),"",MAX(A$28:A296)+1))</f>
        <v/>
      </c>
      <c r="B297" s="91" t="str">
        <f>IF(C297&lt;$K$16,"",IF(ISNA(HLOOKUP(DATE(YEAR($C$20),MONTH($C297),DAY($C297)),$C$20:$N$20,1,0)),"",MAX(B$28:B296)+1))</f>
        <v/>
      </c>
      <c r="C297" s="106">
        <f t="shared" si="49"/>
        <v>50191</v>
      </c>
      <c r="D297" s="795">
        <f t="shared" si="44"/>
        <v>0</v>
      </c>
      <c r="E297" s="795" t="str">
        <f>IF($A297="","",IF($A297=1,D$29*$F297*($C297-$C$28)/$K$17,
(D297*ROUND(($C297-VLOOKUP($A297-1,$A$28:$C297,3,0))/30,0)/12*$F297)
))</f>
        <v/>
      </c>
      <c r="F297" s="107">
        <f t="shared" si="45"/>
        <v>0.06</v>
      </c>
      <c r="G297" s="795">
        <f t="shared" si="41"/>
        <v>0</v>
      </c>
      <c r="H297" s="795">
        <f t="shared" si="46"/>
        <v>0</v>
      </c>
      <c r="I297" s="795">
        <f t="shared" si="47"/>
        <v>0</v>
      </c>
      <c r="J297" s="795">
        <f t="shared" si="48"/>
        <v>0</v>
      </c>
      <c r="K297" s="108">
        <f t="shared" si="42"/>
        <v>2037</v>
      </c>
      <c r="L297" s="92" t="str">
        <f t="shared" si="43"/>
        <v/>
      </c>
    </row>
    <row r="298" spans="1:12" ht="12.75" customHeight="1">
      <c r="A298" s="90">
        <f>IF(B298&lt;&gt;"",MAX(A$28:A297)+1,IF(ISNA(HLOOKUP(DATE(YEAR($C$21),MONTH(C298),DAY(C298)),$C$21:$N$21,1,0)),"",MAX(A$28:A297)+1))</f>
        <v>90</v>
      </c>
      <c r="B298" s="91">
        <f>IF(C298&lt;$K$16,"",IF(ISNA(HLOOKUP(DATE(YEAR($C$20),MONTH($C298),DAY($C298)),$C$20:$N$20,1,0)),"",MAX(B$28:B297)+1))</f>
        <v>78</v>
      </c>
      <c r="C298" s="106">
        <f t="shared" si="49"/>
        <v>50221</v>
      </c>
      <c r="D298" s="795">
        <f t="shared" si="44"/>
        <v>0</v>
      </c>
      <c r="E298" s="795">
        <f>IF($A298="","",IF($A298=1,D$29*$F298*($C298-$C$28)/$K$17,
(D298*ROUND(($C298-VLOOKUP($A298-1,$A$28:$C298,3,0))/30,0)/12*$F298)
))</f>
        <v>0</v>
      </c>
      <c r="F298" s="107">
        <f t="shared" si="45"/>
        <v>0.06</v>
      </c>
      <c r="G298" s="795">
        <f t="shared" si="41"/>
        <v>0</v>
      </c>
      <c r="H298" s="795">
        <f t="shared" si="46"/>
        <v>0</v>
      </c>
      <c r="I298" s="795">
        <f t="shared" si="47"/>
        <v>0</v>
      </c>
      <c r="J298" s="795">
        <f t="shared" si="48"/>
        <v>0</v>
      </c>
      <c r="K298" s="108">
        <f t="shared" si="42"/>
        <v>2037</v>
      </c>
      <c r="L298" s="92" t="str">
        <f t="shared" si="43"/>
        <v/>
      </c>
    </row>
    <row r="299" spans="1:12" ht="12.75" customHeight="1">
      <c r="A299" s="90" t="str">
        <f>IF(B299&lt;&gt;"",MAX(A$28:A298)+1,IF(ISNA(HLOOKUP(DATE(YEAR($C$21),MONTH(C299),DAY(C299)),$C$21:$N$21,1,0)),"",MAX(A$28:A298)+1))</f>
        <v/>
      </c>
      <c r="B299" s="91" t="str">
        <f>IF(C299&lt;$K$16,"",IF(ISNA(HLOOKUP(DATE(YEAR($C$20),MONTH($C299),DAY($C299)),$C$20:$N$20,1,0)),"",MAX(B$28:B298)+1))</f>
        <v/>
      </c>
      <c r="C299" s="106">
        <f t="shared" si="49"/>
        <v>50252</v>
      </c>
      <c r="D299" s="795">
        <f t="shared" si="44"/>
        <v>0</v>
      </c>
      <c r="E299" s="795" t="str">
        <f>IF($A299="","",IF($A299=1,D$29*$F299*($C299-$C$28)/$K$17,
(D299*ROUND(($C299-VLOOKUP($A299-1,$A$28:$C299,3,0))/30,0)/12*$F299)
))</f>
        <v/>
      </c>
      <c r="F299" s="107">
        <f t="shared" si="45"/>
        <v>0.06</v>
      </c>
      <c r="G299" s="795">
        <f t="shared" si="41"/>
        <v>0</v>
      </c>
      <c r="H299" s="795">
        <f t="shared" si="46"/>
        <v>0</v>
      </c>
      <c r="I299" s="795">
        <f t="shared" si="47"/>
        <v>0</v>
      </c>
      <c r="J299" s="795">
        <f t="shared" si="48"/>
        <v>0</v>
      </c>
      <c r="K299" s="108">
        <f t="shared" si="42"/>
        <v>2037</v>
      </c>
      <c r="L299" s="92" t="str">
        <f t="shared" si="43"/>
        <v/>
      </c>
    </row>
    <row r="300" spans="1:12" ht="12.75" customHeight="1">
      <c r="A300" s="90" t="str">
        <f>IF(B300&lt;&gt;"",MAX(A$28:A299)+1,IF(ISNA(HLOOKUP(DATE(YEAR($C$21),MONTH(C300),DAY(C300)),$C$21:$N$21,1,0)),"",MAX(A$28:A299)+1))</f>
        <v/>
      </c>
      <c r="B300" s="91" t="str">
        <f>IF(C300&lt;$K$16,"",IF(ISNA(HLOOKUP(DATE(YEAR($C$20),MONTH($C300),DAY($C300)),$C$20:$N$20,1,0)),"",MAX(B$28:B299)+1))</f>
        <v/>
      </c>
      <c r="C300" s="106">
        <f t="shared" si="49"/>
        <v>50283</v>
      </c>
      <c r="D300" s="795">
        <f t="shared" si="44"/>
        <v>0</v>
      </c>
      <c r="E300" s="795" t="str">
        <f>IF($A300="","",IF($A300=1,D$29*$F300*($C300-$C$28)/$K$17,
(D300*ROUND(($C300-VLOOKUP($A300-1,$A$28:$C300,3,0))/30,0)/12*$F300)
))</f>
        <v/>
      </c>
      <c r="F300" s="107">
        <f t="shared" si="45"/>
        <v>0.06</v>
      </c>
      <c r="G300" s="795">
        <f t="shared" si="41"/>
        <v>0</v>
      </c>
      <c r="H300" s="795">
        <f t="shared" si="46"/>
        <v>0</v>
      </c>
      <c r="I300" s="795">
        <f t="shared" si="47"/>
        <v>0</v>
      </c>
      <c r="J300" s="795">
        <f t="shared" si="48"/>
        <v>0</v>
      </c>
      <c r="K300" s="108">
        <f t="shared" si="42"/>
        <v>2037</v>
      </c>
      <c r="L300" s="92" t="str">
        <f t="shared" si="43"/>
        <v/>
      </c>
    </row>
    <row r="301" spans="1:12" ht="12.75" customHeight="1">
      <c r="A301" s="90">
        <f>IF(B301&lt;&gt;"",MAX(A$28:A300)+1,IF(ISNA(HLOOKUP(DATE(YEAR($C$21),MONTH(C301),DAY(C301)),$C$21:$N$21,1,0)),"",MAX(A$28:A300)+1))</f>
        <v>91</v>
      </c>
      <c r="B301" s="91">
        <f>IF(C301&lt;$K$16,"",IF(ISNA(HLOOKUP(DATE(YEAR($C$20),MONTH($C301),DAY($C301)),$C$20:$N$20,1,0)),"",MAX(B$28:B300)+1))</f>
        <v>79</v>
      </c>
      <c r="C301" s="106">
        <f t="shared" si="49"/>
        <v>50313</v>
      </c>
      <c r="D301" s="795">
        <f t="shared" si="44"/>
        <v>0</v>
      </c>
      <c r="E301" s="795">
        <f>IF($A301="","",IF($A301=1,D$29*$F301*($C301-$C$28)/$K$17,
(D301*ROUND(($C301-VLOOKUP($A301-1,$A$28:$C301,3,0))/30,0)/12*$F301)
))</f>
        <v>0</v>
      </c>
      <c r="F301" s="107">
        <f t="shared" si="45"/>
        <v>0.06</v>
      </c>
      <c r="G301" s="795">
        <f t="shared" si="41"/>
        <v>0</v>
      </c>
      <c r="H301" s="795">
        <f t="shared" si="46"/>
        <v>0</v>
      </c>
      <c r="I301" s="795">
        <f t="shared" si="47"/>
        <v>0</v>
      </c>
      <c r="J301" s="795">
        <f t="shared" si="48"/>
        <v>0</v>
      </c>
      <c r="K301" s="108">
        <f t="shared" si="42"/>
        <v>2037</v>
      </c>
      <c r="L301" s="92" t="str">
        <f t="shared" si="43"/>
        <v/>
      </c>
    </row>
    <row r="302" spans="1:12" ht="12.75" customHeight="1">
      <c r="A302" s="90" t="str">
        <f>IF(B302&lt;&gt;"",MAX(A$28:A301)+1,IF(ISNA(HLOOKUP(DATE(YEAR($C$21),MONTH(C302),DAY(C302)),$C$21:$N$21,1,0)),"",MAX(A$28:A301)+1))</f>
        <v/>
      </c>
      <c r="B302" s="91" t="str">
        <f>IF(C302&lt;$K$16,"",IF(ISNA(HLOOKUP(DATE(YEAR($C$20),MONTH($C302),DAY($C302)),$C$20:$N$20,1,0)),"",MAX(B$28:B301)+1))</f>
        <v/>
      </c>
      <c r="C302" s="106">
        <f t="shared" si="49"/>
        <v>50344</v>
      </c>
      <c r="D302" s="795">
        <f t="shared" si="44"/>
        <v>0</v>
      </c>
      <c r="E302" s="795" t="str">
        <f>IF($A302="","",IF($A302=1,D$29*$F302*($C302-$C$28)/$K$17,
(D302*ROUND(($C302-VLOOKUP($A302-1,$A$28:$C302,3,0))/30,0)/12*$F302)
))</f>
        <v/>
      </c>
      <c r="F302" s="107">
        <f t="shared" si="45"/>
        <v>0.06</v>
      </c>
      <c r="G302" s="795">
        <f t="shared" si="41"/>
        <v>0</v>
      </c>
      <c r="H302" s="795">
        <f t="shared" si="46"/>
        <v>0</v>
      </c>
      <c r="I302" s="795">
        <f t="shared" si="47"/>
        <v>0</v>
      </c>
      <c r="J302" s="795">
        <f t="shared" si="48"/>
        <v>0</v>
      </c>
      <c r="K302" s="108">
        <f t="shared" si="42"/>
        <v>2037</v>
      </c>
      <c r="L302" s="92" t="str">
        <f t="shared" si="43"/>
        <v/>
      </c>
    </row>
    <row r="303" spans="1:12" ht="12.75" customHeight="1">
      <c r="A303" s="90" t="str">
        <f>IF(B303&lt;&gt;"",MAX(A$28:A302)+1,IF(ISNA(HLOOKUP(DATE(YEAR($C$21),MONTH(C303),DAY(C303)),$C$21:$N$21,1,0)),"",MAX(A$28:A302)+1))</f>
        <v/>
      </c>
      <c r="B303" s="91" t="str">
        <f>IF(C303&lt;$K$16,"",IF(ISNA(HLOOKUP(DATE(YEAR($C$20),MONTH($C303),DAY($C303)),$C$20:$N$20,1,0)),"",MAX(B$28:B302)+1))</f>
        <v/>
      </c>
      <c r="C303" s="106">
        <f t="shared" si="49"/>
        <v>50374</v>
      </c>
      <c r="D303" s="795">
        <f t="shared" si="44"/>
        <v>0</v>
      </c>
      <c r="E303" s="795" t="str">
        <f>IF($A303="","",IF($A303=1,D$29*$F303*($C303-$C$28)/$K$17,
(D303*ROUND(($C303-VLOOKUP($A303-1,$A$28:$C303,3,0))/30,0)/12*$F303)
))</f>
        <v/>
      </c>
      <c r="F303" s="107">
        <f t="shared" si="45"/>
        <v>0.06</v>
      </c>
      <c r="G303" s="795">
        <f t="shared" si="41"/>
        <v>0</v>
      </c>
      <c r="H303" s="795">
        <f t="shared" si="46"/>
        <v>0</v>
      </c>
      <c r="I303" s="795">
        <f t="shared" si="47"/>
        <v>0</v>
      </c>
      <c r="J303" s="795">
        <f t="shared" si="48"/>
        <v>0</v>
      </c>
      <c r="K303" s="108">
        <f t="shared" si="42"/>
        <v>2037</v>
      </c>
      <c r="L303" s="92" t="str">
        <f t="shared" si="43"/>
        <v/>
      </c>
    </row>
    <row r="304" spans="1:12" ht="12.75" customHeight="1">
      <c r="A304" s="90">
        <f>IF(B304&lt;&gt;"",MAX(A$28:A303)+1,IF(ISNA(HLOOKUP(DATE(YEAR($C$21),MONTH(C304),DAY(C304)),$C$21:$N$21,1,0)),"",MAX(A$28:A303)+1))</f>
        <v>92</v>
      </c>
      <c r="B304" s="91">
        <f>IF(C304&lt;$K$16,"",IF(ISNA(HLOOKUP(DATE(YEAR($C$20),MONTH($C304),DAY($C304)),$C$20:$N$20,1,0)),"",MAX(B$28:B303)+1))</f>
        <v>80</v>
      </c>
      <c r="C304" s="106">
        <f t="shared" si="49"/>
        <v>50405</v>
      </c>
      <c r="D304" s="795">
        <f t="shared" si="44"/>
        <v>0</v>
      </c>
      <c r="E304" s="795">
        <f>IF($A304="","",IF($A304=1,D$29*$F304*($C304-$C$28)/$K$17,
(D304*ROUND(($C304-VLOOKUP($A304-1,$A$28:$C304,3,0))/30,0)/12*$F304)
))</f>
        <v>0</v>
      </c>
      <c r="F304" s="107">
        <f t="shared" si="45"/>
        <v>0.06</v>
      </c>
      <c r="G304" s="795">
        <f t="shared" si="41"/>
        <v>0</v>
      </c>
      <c r="H304" s="795">
        <f t="shared" si="46"/>
        <v>0</v>
      </c>
      <c r="I304" s="795">
        <f t="shared" si="47"/>
        <v>0</v>
      </c>
      <c r="J304" s="795">
        <f t="shared" si="48"/>
        <v>0</v>
      </c>
      <c r="K304" s="108">
        <f t="shared" si="42"/>
        <v>2037</v>
      </c>
      <c r="L304" s="92" t="str">
        <f t="shared" si="43"/>
        <v/>
      </c>
    </row>
    <row r="305" spans="1:12" ht="12.75" customHeight="1">
      <c r="A305" s="90" t="str">
        <f>IF(B305&lt;&gt;"",MAX(A$28:A304)+1,IF(ISNA(HLOOKUP(DATE(YEAR($C$21),MONTH(C305),DAY(C305)),$C$21:$N$21,1,0)),"",MAX(A$28:A304)+1))</f>
        <v/>
      </c>
      <c r="B305" s="91" t="str">
        <f>IF(C305&lt;$K$16,"",IF(ISNA(HLOOKUP(DATE(YEAR($C$20),MONTH($C305),DAY($C305)),$C$20:$N$20,1,0)),"",MAX(B$28:B304)+1))</f>
        <v/>
      </c>
      <c r="C305" s="106">
        <f t="shared" si="49"/>
        <v>50436</v>
      </c>
      <c r="D305" s="795">
        <f t="shared" si="44"/>
        <v>0</v>
      </c>
      <c r="E305" s="795" t="str">
        <f>IF($A305="","",IF($A305=1,D$29*$F305*($C305-$C$28)/$K$17,
(D305*ROUND(($C305-VLOOKUP($A305-1,$A$28:$C305,3,0))/30,0)/12*$F305)
))</f>
        <v/>
      </c>
      <c r="F305" s="107">
        <f t="shared" si="45"/>
        <v>0.06</v>
      </c>
      <c r="G305" s="795">
        <f t="shared" si="41"/>
        <v>0</v>
      </c>
      <c r="H305" s="795">
        <f t="shared" si="46"/>
        <v>0</v>
      </c>
      <c r="I305" s="795">
        <f t="shared" si="47"/>
        <v>0</v>
      </c>
      <c r="J305" s="795">
        <f t="shared" si="48"/>
        <v>0</v>
      </c>
      <c r="K305" s="108">
        <f t="shared" si="42"/>
        <v>2038</v>
      </c>
      <c r="L305" s="92" t="str">
        <f t="shared" si="43"/>
        <v/>
      </c>
    </row>
    <row r="306" spans="1:12" ht="12.75" customHeight="1">
      <c r="A306" s="90" t="str">
        <f>IF(B306&lt;&gt;"",MAX(A$28:A305)+1,IF(ISNA(HLOOKUP(DATE(YEAR($C$21),MONTH(C306),DAY(C306)),$C$21:$N$21,1,0)),"",MAX(A$28:A305)+1))</f>
        <v/>
      </c>
      <c r="B306" s="91" t="str">
        <f>IF(C306&lt;$K$16,"",IF(ISNA(HLOOKUP(DATE(YEAR($C$20),MONTH($C306),DAY($C306)),$C$20:$N$20,1,0)),"",MAX(B$28:B305)+1))</f>
        <v/>
      </c>
      <c r="C306" s="106">
        <f t="shared" si="49"/>
        <v>50464</v>
      </c>
      <c r="D306" s="795">
        <f t="shared" si="44"/>
        <v>0</v>
      </c>
      <c r="E306" s="795" t="str">
        <f>IF($A306="","",IF($A306=1,D$29*$F306*($C306-$C$28)/$K$17,
(D306*ROUND(($C306-VLOOKUP($A306-1,$A$28:$C306,3,0))/30,0)/12*$F306)
))</f>
        <v/>
      </c>
      <c r="F306" s="107">
        <f t="shared" si="45"/>
        <v>0.06</v>
      </c>
      <c r="G306" s="795">
        <f t="shared" si="41"/>
        <v>0</v>
      </c>
      <c r="H306" s="795">
        <f t="shared" si="46"/>
        <v>0</v>
      </c>
      <c r="I306" s="795">
        <f t="shared" si="47"/>
        <v>0</v>
      </c>
      <c r="J306" s="795">
        <f t="shared" si="48"/>
        <v>0</v>
      </c>
      <c r="K306" s="108">
        <f t="shared" si="42"/>
        <v>2038</v>
      </c>
      <c r="L306" s="92" t="str">
        <f t="shared" si="43"/>
        <v/>
      </c>
    </row>
    <row r="307" spans="1:12" ht="12.75" customHeight="1">
      <c r="A307" s="90">
        <f>IF(B307&lt;&gt;"",MAX(A$28:A306)+1,IF(ISNA(HLOOKUP(DATE(YEAR($C$21),MONTH(C307),DAY(C307)),$C$21:$N$21,1,0)),"",MAX(A$28:A306)+1))</f>
        <v>93</v>
      </c>
      <c r="B307" s="91">
        <f>IF(C307&lt;$K$16,"",IF(ISNA(HLOOKUP(DATE(YEAR($C$20),MONTH($C307),DAY($C307)),$C$20:$N$20,1,0)),"",MAX(B$28:B306)+1))</f>
        <v>81</v>
      </c>
      <c r="C307" s="106">
        <f t="shared" si="49"/>
        <v>50495</v>
      </c>
      <c r="D307" s="795">
        <f t="shared" si="44"/>
        <v>0</v>
      </c>
      <c r="E307" s="795">
        <f>IF($A307="","",IF($A307=1,D$29*$F307*($C307-$C$28)/$K$17,
(D307*ROUND(($C307-VLOOKUP($A307-1,$A$28:$C307,3,0))/30,0)/12*$F307)
))</f>
        <v>0</v>
      </c>
      <c r="F307" s="107">
        <f t="shared" si="45"/>
        <v>0.06</v>
      </c>
      <c r="G307" s="795">
        <f t="shared" si="41"/>
        <v>0</v>
      </c>
      <c r="H307" s="795">
        <f t="shared" si="46"/>
        <v>0</v>
      </c>
      <c r="I307" s="795">
        <f t="shared" si="47"/>
        <v>0</v>
      </c>
      <c r="J307" s="795">
        <f t="shared" si="48"/>
        <v>0</v>
      </c>
      <c r="K307" s="108">
        <f t="shared" si="42"/>
        <v>2038</v>
      </c>
      <c r="L307" s="92" t="str">
        <f t="shared" si="43"/>
        <v/>
      </c>
    </row>
    <row r="308" spans="1:12" ht="12.75" customHeight="1">
      <c r="A308" s="90" t="str">
        <f>IF(B308&lt;&gt;"",MAX(A$28:A307)+1,IF(ISNA(HLOOKUP(DATE(YEAR($C$21),MONTH(C308),DAY(C308)),$C$21:$N$21,1,0)),"",MAX(A$28:A307)+1))</f>
        <v/>
      </c>
      <c r="B308" s="91" t="str">
        <f>IF(C308&lt;$K$16,"",IF(ISNA(HLOOKUP(DATE(YEAR($C$20),MONTH($C308),DAY($C308)),$C$20:$N$20,1,0)),"",MAX(B$28:B307)+1))</f>
        <v/>
      </c>
      <c r="C308" s="106">
        <f t="shared" si="49"/>
        <v>50525</v>
      </c>
      <c r="D308" s="795">
        <f t="shared" si="44"/>
        <v>0</v>
      </c>
      <c r="E308" s="795" t="str">
        <f>IF($A308="","",IF($A308=1,D$29*$F308*($C308-$C$28)/$K$17,
(D308*ROUND(($C308-VLOOKUP($A308-1,$A$28:$C308,3,0))/30,0)/12*$F308)
))</f>
        <v/>
      </c>
      <c r="F308" s="107">
        <f t="shared" si="45"/>
        <v>0.06</v>
      </c>
      <c r="G308" s="795">
        <f t="shared" si="41"/>
        <v>0</v>
      </c>
      <c r="H308" s="795">
        <f t="shared" si="46"/>
        <v>0</v>
      </c>
      <c r="I308" s="795">
        <f t="shared" si="47"/>
        <v>0</v>
      </c>
      <c r="J308" s="795">
        <f t="shared" si="48"/>
        <v>0</v>
      </c>
      <c r="K308" s="108">
        <f t="shared" si="42"/>
        <v>2038</v>
      </c>
      <c r="L308" s="92" t="str">
        <f t="shared" si="43"/>
        <v/>
      </c>
    </row>
    <row r="309" spans="1:12" ht="12.75" customHeight="1">
      <c r="A309" s="90" t="str">
        <f>IF(B309&lt;&gt;"",MAX(A$28:A308)+1,IF(ISNA(HLOOKUP(DATE(YEAR($C$21),MONTH(C309),DAY(C309)),$C$21:$N$21,1,0)),"",MAX(A$28:A308)+1))</f>
        <v/>
      </c>
      <c r="B309" s="91" t="str">
        <f>IF(C309&lt;$K$16,"",IF(ISNA(HLOOKUP(DATE(YEAR($C$20),MONTH($C309),DAY($C309)),$C$20:$N$20,1,0)),"",MAX(B$28:B308)+1))</f>
        <v/>
      </c>
      <c r="C309" s="106">
        <f t="shared" si="49"/>
        <v>50556</v>
      </c>
      <c r="D309" s="795">
        <f t="shared" si="44"/>
        <v>0</v>
      </c>
      <c r="E309" s="795" t="str">
        <f>IF($A309="","",IF($A309=1,D$29*$F309*($C309-$C$28)/$K$17,
(D309*ROUND(($C309-VLOOKUP($A309-1,$A$28:$C309,3,0))/30,0)/12*$F309)
))</f>
        <v/>
      </c>
      <c r="F309" s="107">
        <f t="shared" si="45"/>
        <v>0.06</v>
      </c>
      <c r="G309" s="795">
        <f t="shared" si="41"/>
        <v>0</v>
      </c>
      <c r="H309" s="795">
        <f t="shared" si="46"/>
        <v>0</v>
      </c>
      <c r="I309" s="795">
        <f t="shared" si="47"/>
        <v>0</v>
      </c>
      <c r="J309" s="795">
        <f t="shared" si="48"/>
        <v>0</v>
      </c>
      <c r="K309" s="108">
        <f t="shared" si="42"/>
        <v>2038</v>
      </c>
      <c r="L309" s="92" t="str">
        <f t="shared" si="43"/>
        <v/>
      </c>
    </row>
    <row r="310" spans="1:12" ht="12.75" customHeight="1">
      <c r="A310" s="90">
        <f>IF(B310&lt;&gt;"",MAX(A$28:A309)+1,IF(ISNA(HLOOKUP(DATE(YEAR($C$21),MONTH(C310),DAY(C310)),$C$21:$N$21,1,0)),"",MAX(A$28:A309)+1))</f>
        <v>94</v>
      </c>
      <c r="B310" s="91">
        <f>IF(C310&lt;$K$16,"",IF(ISNA(HLOOKUP(DATE(YEAR($C$20),MONTH($C310),DAY($C310)),$C$20:$N$20,1,0)),"",MAX(B$28:B309)+1))</f>
        <v>82</v>
      </c>
      <c r="C310" s="106">
        <f t="shared" si="49"/>
        <v>50586</v>
      </c>
      <c r="D310" s="795">
        <f t="shared" si="44"/>
        <v>0</v>
      </c>
      <c r="E310" s="795">
        <f>IF($A310="","",IF($A310=1,D$29*$F310*($C310-$C$28)/$K$17,
(D310*ROUND(($C310-VLOOKUP($A310-1,$A$28:$C310,3,0))/30,0)/12*$F310)
))</f>
        <v>0</v>
      </c>
      <c r="F310" s="107">
        <f t="shared" si="45"/>
        <v>0.06</v>
      </c>
      <c r="G310" s="795">
        <f t="shared" si="41"/>
        <v>0</v>
      </c>
      <c r="H310" s="795">
        <f t="shared" si="46"/>
        <v>0</v>
      </c>
      <c r="I310" s="795">
        <f t="shared" si="47"/>
        <v>0</v>
      </c>
      <c r="J310" s="795">
        <f t="shared" si="48"/>
        <v>0</v>
      </c>
      <c r="K310" s="108">
        <f t="shared" si="42"/>
        <v>2038</v>
      </c>
      <c r="L310" s="92" t="str">
        <f t="shared" si="43"/>
        <v/>
      </c>
    </row>
    <row r="311" spans="1:12" ht="12.75" customHeight="1">
      <c r="A311" s="90" t="str">
        <f>IF(B311&lt;&gt;"",MAX(A$28:A310)+1,IF(ISNA(HLOOKUP(DATE(YEAR($C$21),MONTH(C311),DAY(C311)),$C$21:$N$21,1,0)),"",MAX(A$28:A310)+1))</f>
        <v/>
      </c>
      <c r="B311" s="91" t="str">
        <f>IF(C311&lt;$K$16,"",IF(ISNA(HLOOKUP(DATE(YEAR($C$20),MONTH($C311),DAY($C311)),$C$20:$N$20,1,0)),"",MAX(B$28:B310)+1))</f>
        <v/>
      </c>
      <c r="C311" s="106">
        <f t="shared" si="49"/>
        <v>50617</v>
      </c>
      <c r="D311" s="795">
        <f t="shared" si="44"/>
        <v>0</v>
      </c>
      <c r="E311" s="795" t="str">
        <f>IF($A311="","",IF($A311=1,D$29*$F311*($C311-$C$28)/$K$17,
(D311*ROUND(($C311-VLOOKUP($A311-1,$A$28:$C311,3,0))/30,0)/12*$F311)
))</f>
        <v/>
      </c>
      <c r="F311" s="107">
        <f t="shared" si="45"/>
        <v>0.06</v>
      </c>
      <c r="G311" s="795">
        <f t="shared" si="41"/>
        <v>0</v>
      </c>
      <c r="H311" s="795">
        <f t="shared" si="46"/>
        <v>0</v>
      </c>
      <c r="I311" s="795">
        <f t="shared" si="47"/>
        <v>0</v>
      </c>
      <c r="J311" s="795">
        <f t="shared" si="48"/>
        <v>0</v>
      </c>
      <c r="K311" s="108">
        <f t="shared" si="42"/>
        <v>2038</v>
      </c>
      <c r="L311" s="92" t="str">
        <f t="shared" si="43"/>
        <v/>
      </c>
    </row>
    <row r="312" spans="1:12" ht="12.75" customHeight="1">
      <c r="A312" s="90" t="str">
        <f>IF(B312&lt;&gt;"",MAX(A$28:A311)+1,IF(ISNA(HLOOKUP(DATE(YEAR($C$21),MONTH(C312),DAY(C312)),$C$21:$N$21,1,0)),"",MAX(A$28:A311)+1))</f>
        <v/>
      </c>
      <c r="B312" s="91" t="str">
        <f>IF(C312&lt;$K$16,"",IF(ISNA(HLOOKUP(DATE(YEAR($C$20),MONTH($C312),DAY($C312)),$C$20:$N$20,1,0)),"",MAX(B$28:B311)+1))</f>
        <v/>
      </c>
      <c r="C312" s="106">
        <f t="shared" si="49"/>
        <v>50648</v>
      </c>
      <c r="D312" s="795">
        <f t="shared" si="44"/>
        <v>0</v>
      </c>
      <c r="E312" s="795" t="str">
        <f>IF($A312="","",IF($A312=1,D$29*$F312*($C312-$C$28)/$K$17,
(D312*ROUND(($C312-VLOOKUP($A312-1,$A$28:$C312,3,0))/30,0)/12*$F312)
))</f>
        <v/>
      </c>
      <c r="F312" s="107">
        <f t="shared" si="45"/>
        <v>0.06</v>
      </c>
      <c r="G312" s="795">
        <f t="shared" si="41"/>
        <v>0</v>
      </c>
      <c r="H312" s="795">
        <f t="shared" si="46"/>
        <v>0</v>
      </c>
      <c r="I312" s="795">
        <f t="shared" si="47"/>
        <v>0</v>
      </c>
      <c r="J312" s="795">
        <f t="shared" si="48"/>
        <v>0</v>
      </c>
      <c r="K312" s="108">
        <f t="shared" si="42"/>
        <v>2038</v>
      </c>
      <c r="L312" s="92" t="str">
        <f t="shared" si="43"/>
        <v/>
      </c>
    </row>
    <row r="313" spans="1:12" ht="12.75" customHeight="1">
      <c r="A313" s="90">
        <f>IF(B313&lt;&gt;"",MAX(A$28:A312)+1,IF(ISNA(HLOOKUP(DATE(YEAR($C$21),MONTH(C313),DAY(C313)),$C$21:$N$21,1,0)),"",MAX(A$28:A312)+1))</f>
        <v>95</v>
      </c>
      <c r="B313" s="91">
        <f>IF(C313&lt;$K$16,"",IF(ISNA(HLOOKUP(DATE(YEAR($C$20),MONTH($C313),DAY($C313)),$C$20:$N$20,1,0)),"",MAX(B$28:B312)+1))</f>
        <v>83</v>
      </c>
      <c r="C313" s="106">
        <f t="shared" si="49"/>
        <v>50678</v>
      </c>
      <c r="D313" s="795">
        <f t="shared" si="44"/>
        <v>0</v>
      </c>
      <c r="E313" s="795">
        <f>IF($A313="","",IF($A313=1,D$29*$F313*($C313-$C$28)/$K$17,
(D313*ROUND(($C313-VLOOKUP($A313-1,$A$28:$C313,3,0))/30,0)/12*$F313)
))</f>
        <v>0</v>
      </c>
      <c r="F313" s="107">
        <f t="shared" si="45"/>
        <v>0.06</v>
      </c>
      <c r="G313" s="795">
        <f t="shared" si="41"/>
        <v>0</v>
      </c>
      <c r="H313" s="795">
        <f t="shared" si="46"/>
        <v>0</v>
      </c>
      <c r="I313" s="795">
        <f t="shared" si="47"/>
        <v>0</v>
      </c>
      <c r="J313" s="795">
        <f t="shared" si="48"/>
        <v>0</v>
      </c>
      <c r="K313" s="108">
        <f t="shared" si="42"/>
        <v>2038</v>
      </c>
      <c r="L313" s="92" t="str">
        <f t="shared" si="43"/>
        <v/>
      </c>
    </row>
    <row r="314" spans="1:12" ht="12.75" customHeight="1">
      <c r="A314" s="90" t="str">
        <f>IF(B314&lt;&gt;"",MAX(A$28:A313)+1,IF(ISNA(HLOOKUP(DATE(YEAR($C$21),MONTH(C314),DAY(C314)),$C$21:$N$21,1,0)),"",MAX(A$28:A313)+1))</f>
        <v/>
      </c>
      <c r="B314" s="91" t="str">
        <f>IF(C314&lt;$K$16,"",IF(ISNA(HLOOKUP(DATE(YEAR($C$20),MONTH($C314),DAY($C314)),$C$20:$N$20,1,0)),"",MAX(B$28:B313)+1))</f>
        <v/>
      </c>
      <c r="C314" s="106">
        <f t="shared" si="49"/>
        <v>50709</v>
      </c>
      <c r="D314" s="795">
        <f t="shared" si="44"/>
        <v>0</v>
      </c>
      <c r="E314" s="795" t="str">
        <f>IF($A314="","",IF($A314=1,D$29*$F314*($C314-$C$28)/$K$17,
(D314*ROUND(($C314-VLOOKUP($A314-1,$A$28:$C314,3,0))/30,0)/12*$F314)
))</f>
        <v/>
      </c>
      <c r="F314" s="107">
        <f t="shared" si="45"/>
        <v>0.06</v>
      </c>
      <c r="G314" s="795">
        <f t="shared" si="41"/>
        <v>0</v>
      </c>
      <c r="H314" s="795">
        <f t="shared" si="46"/>
        <v>0</v>
      </c>
      <c r="I314" s="795">
        <f t="shared" si="47"/>
        <v>0</v>
      </c>
      <c r="J314" s="795">
        <f t="shared" si="48"/>
        <v>0</v>
      </c>
      <c r="K314" s="108">
        <f t="shared" si="42"/>
        <v>2038</v>
      </c>
      <c r="L314" s="92" t="str">
        <f t="shared" si="43"/>
        <v/>
      </c>
    </row>
    <row r="315" spans="1:12" ht="12.75" customHeight="1">
      <c r="A315" s="90" t="str">
        <f>IF(B315&lt;&gt;"",MAX(A$28:A314)+1,IF(ISNA(HLOOKUP(DATE(YEAR($C$21),MONTH(C315),DAY(C315)),$C$21:$N$21,1,0)),"",MAX(A$28:A314)+1))</f>
        <v/>
      </c>
      <c r="B315" s="91" t="str">
        <f>IF(C315&lt;$K$16,"",IF(ISNA(HLOOKUP(DATE(YEAR($C$20),MONTH($C315),DAY($C315)),$C$20:$N$20,1,0)),"",MAX(B$28:B314)+1))</f>
        <v/>
      </c>
      <c r="C315" s="106">
        <f t="shared" si="49"/>
        <v>50739</v>
      </c>
      <c r="D315" s="795">
        <f t="shared" si="44"/>
        <v>0</v>
      </c>
      <c r="E315" s="795" t="str">
        <f>IF($A315="","",IF($A315=1,D$29*$F315*($C315-$C$28)/$K$17,
(D315*ROUND(($C315-VLOOKUP($A315-1,$A$28:$C315,3,0))/30,0)/12*$F315)
))</f>
        <v/>
      </c>
      <c r="F315" s="107">
        <f t="shared" si="45"/>
        <v>0.06</v>
      </c>
      <c r="G315" s="795">
        <f t="shared" si="41"/>
        <v>0</v>
      </c>
      <c r="H315" s="795">
        <f t="shared" si="46"/>
        <v>0</v>
      </c>
      <c r="I315" s="795">
        <f t="shared" si="47"/>
        <v>0</v>
      </c>
      <c r="J315" s="795">
        <f t="shared" si="48"/>
        <v>0</v>
      </c>
      <c r="K315" s="108">
        <f t="shared" si="42"/>
        <v>2038</v>
      </c>
      <c r="L315" s="92" t="str">
        <f t="shared" si="43"/>
        <v/>
      </c>
    </row>
    <row r="316" spans="1:12" ht="12.75" customHeight="1">
      <c r="A316" s="90">
        <f>IF(B316&lt;&gt;"",MAX(A$28:A315)+1,IF(ISNA(HLOOKUP(DATE(YEAR($C$21),MONTH(C316),DAY(C316)),$C$21:$N$21,1,0)),"",MAX(A$28:A315)+1))</f>
        <v>96</v>
      </c>
      <c r="B316" s="91">
        <f>IF(C316&lt;$K$16,"",IF(ISNA(HLOOKUP(DATE(YEAR($C$20),MONTH($C316),DAY($C316)),$C$20:$N$20,1,0)),"",MAX(B$28:B315)+1))</f>
        <v>84</v>
      </c>
      <c r="C316" s="106">
        <f t="shared" si="49"/>
        <v>50770</v>
      </c>
      <c r="D316" s="795">
        <f t="shared" si="44"/>
        <v>0</v>
      </c>
      <c r="E316" s="795">
        <f>IF($A316="","",IF($A316=1,D$29*$F316*($C316-$C$28)/$K$17,
(D316*ROUND(($C316-VLOOKUP($A316-1,$A$28:$C316,3,0))/30,0)/12*$F316)
))</f>
        <v>0</v>
      </c>
      <c r="F316" s="107">
        <f t="shared" si="45"/>
        <v>0.06</v>
      </c>
      <c r="G316" s="795">
        <f t="shared" si="41"/>
        <v>0</v>
      </c>
      <c r="H316" s="795">
        <f t="shared" si="46"/>
        <v>0</v>
      </c>
      <c r="I316" s="795">
        <f t="shared" si="47"/>
        <v>0</v>
      </c>
      <c r="J316" s="795">
        <f t="shared" si="48"/>
        <v>0</v>
      </c>
      <c r="K316" s="108">
        <f t="shared" si="42"/>
        <v>2038</v>
      </c>
      <c r="L316" s="92" t="str">
        <f t="shared" si="43"/>
        <v/>
      </c>
    </row>
    <row r="317" spans="1:12" ht="12.75" customHeight="1">
      <c r="A317" s="90" t="str">
        <f>IF(B317&lt;&gt;"",MAX(A$28:A316)+1,IF(ISNA(HLOOKUP(DATE(YEAR($C$21),MONTH(C317),DAY(C317)),$C$21:$N$21,1,0)),"",MAX(A$28:A316)+1))</f>
        <v/>
      </c>
      <c r="B317" s="91" t="str">
        <f>IF(C317&lt;$K$16,"",IF(ISNA(HLOOKUP(DATE(YEAR($C$20),MONTH($C317),DAY($C317)),$C$20:$N$20,1,0)),"",MAX(B$28:B316)+1))</f>
        <v/>
      </c>
      <c r="C317" s="106">
        <f t="shared" si="49"/>
        <v>50801</v>
      </c>
      <c r="D317" s="795">
        <f t="shared" si="44"/>
        <v>0</v>
      </c>
      <c r="E317" s="795" t="str">
        <f>IF($A317="","",IF($A317=1,D$29*$F317*($C317-$C$28)/$K$17,
(D317*ROUND(($C317-VLOOKUP($A317-1,$A$28:$C317,3,0))/30,0)/12*$F317)
))</f>
        <v/>
      </c>
      <c r="F317" s="107">
        <f t="shared" si="45"/>
        <v>0.06</v>
      </c>
      <c r="G317" s="795">
        <f t="shared" si="41"/>
        <v>0</v>
      </c>
      <c r="H317" s="795">
        <f t="shared" si="46"/>
        <v>0</v>
      </c>
      <c r="I317" s="795">
        <f t="shared" si="47"/>
        <v>0</v>
      </c>
      <c r="J317" s="795">
        <f t="shared" si="48"/>
        <v>0</v>
      </c>
      <c r="K317" s="108">
        <f t="shared" si="42"/>
        <v>2039</v>
      </c>
      <c r="L317" s="92" t="str">
        <f t="shared" si="43"/>
        <v/>
      </c>
    </row>
    <row r="318" spans="1:12" ht="12.75" customHeight="1">
      <c r="A318" s="90" t="str">
        <f>IF(B318&lt;&gt;"",MAX(A$28:A317)+1,IF(ISNA(HLOOKUP(DATE(YEAR($C$21),MONTH(C318),DAY(C318)),$C$21:$N$21,1,0)),"",MAX(A$28:A317)+1))</f>
        <v/>
      </c>
      <c r="B318" s="91" t="str">
        <f>IF(C318&lt;$K$16,"",IF(ISNA(HLOOKUP(DATE(YEAR($C$20),MONTH($C318),DAY($C318)),$C$20:$N$20,1,0)),"",MAX(B$28:B317)+1))</f>
        <v/>
      </c>
      <c r="C318" s="106">
        <f t="shared" si="49"/>
        <v>50829</v>
      </c>
      <c r="D318" s="795">
        <f t="shared" si="44"/>
        <v>0</v>
      </c>
      <c r="E318" s="795" t="str">
        <f>IF($A318="","",IF($A318=1,D$29*$F318*($C318-$C$28)/$K$17,
(D318*ROUND(($C318-VLOOKUP($A318-1,$A$28:$C318,3,0))/30,0)/12*$F318)
))</f>
        <v/>
      </c>
      <c r="F318" s="107">
        <f t="shared" si="45"/>
        <v>0.06</v>
      </c>
      <c r="G318" s="795">
        <f t="shared" si="41"/>
        <v>0</v>
      </c>
      <c r="H318" s="795">
        <f t="shared" si="46"/>
        <v>0</v>
      </c>
      <c r="I318" s="795">
        <f t="shared" si="47"/>
        <v>0</v>
      </c>
      <c r="J318" s="795">
        <f t="shared" si="48"/>
        <v>0</v>
      </c>
      <c r="K318" s="108">
        <f t="shared" si="42"/>
        <v>2039</v>
      </c>
      <c r="L318" s="92" t="str">
        <f t="shared" si="43"/>
        <v/>
      </c>
    </row>
    <row r="319" spans="1:12" ht="12.75" customHeight="1">
      <c r="A319" s="90">
        <f>IF(B319&lt;&gt;"",MAX(A$28:A318)+1,IF(ISNA(HLOOKUP(DATE(YEAR($C$21),MONTH(C319),DAY(C319)),$C$21:$N$21,1,0)),"",MAX(A$28:A318)+1))</f>
        <v>97</v>
      </c>
      <c r="B319" s="91">
        <f>IF(C319&lt;$K$16,"",IF(ISNA(HLOOKUP(DATE(YEAR($C$20),MONTH($C319),DAY($C319)),$C$20:$N$20,1,0)),"",MAX(B$28:B318)+1))</f>
        <v>85</v>
      </c>
      <c r="C319" s="106">
        <f t="shared" si="49"/>
        <v>50860</v>
      </c>
      <c r="D319" s="795">
        <f t="shared" si="44"/>
        <v>0</v>
      </c>
      <c r="E319" s="795">
        <f>IF($A319="","",IF($A319=1,D$29*$F319*($C319-$C$28)/$K$17,
(D319*ROUND(($C319-VLOOKUP($A319-1,$A$28:$C319,3,0))/30,0)/12*$F319)
))</f>
        <v>0</v>
      </c>
      <c r="F319" s="107">
        <f t="shared" si="45"/>
        <v>0.06</v>
      </c>
      <c r="G319" s="795">
        <f t="shared" si="41"/>
        <v>0</v>
      </c>
      <c r="H319" s="795">
        <f t="shared" si="46"/>
        <v>0</v>
      </c>
      <c r="I319" s="795">
        <f t="shared" si="47"/>
        <v>0</v>
      </c>
      <c r="J319" s="795">
        <f t="shared" si="48"/>
        <v>0</v>
      </c>
      <c r="K319" s="108">
        <f t="shared" si="42"/>
        <v>2039</v>
      </c>
      <c r="L319" s="92" t="str">
        <f t="shared" si="43"/>
        <v/>
      </c>
    </row>
    <row r="320" spans="1:12" ht="12.75" customHeight="1">
      <c r="A320" s="90" t="str">
        <f>IF(B320&lt;&gt;"",MAX(A$28:A319)+1,IF(ISNA(HLOOKUP(DATE(YEAR($C$21),MONTH(C320),DAY(C320)),$C$21:$N$21,1,0)),"",MAX(A$28:A319)+1))</f>
        <v/>
      </c>
      <c r="B320" s="91" t="str">
        <f>IF(C320&lt;$K$16,"",IF(ISNA(HLOOKUP(DATE(YEAR($C$20),MONTH($C320),DAY($C320)),$C$20:$N$20,1,0)),"",MAX(B$28:B319)+1))</f>
        <v/>
      </c>
      <c r="C320" s="106">
        <f t="shared" si="49"/>
        <v>50890</v>
      </c>
      <c r="D320" s="795">
        <f t="shared" si="44"/>
        <v>0</v>
      </c>
      <c r="E320" s="795" t="str">
        <f>IF($A320="","",IF($A320=1,D$29*$F320*($C320-$C$28)/$K$17,
(D320*ROUND(($C320-VLOOKUP($A320-1,$A$28:$C320,3,0))/30,0)/12*$F320)
))</f>
        <v/>
      </c>
      <c r="F320" s="107">
        <f t="shared" si="45"/>
        <v>0.06</v>
      </c>
      <c r="G320" s="795">
        <f t="shared" si="41"/>
        <v>0</v>
      </c>
      <c r="H320" s="795">
        <f t="shared" si="46"/>
        <v>0</v>
      </c>
      <c r="I320" s="795">
        <f t="shared" si="47"/>
        <v>0</v>
      </c>
      <c r="J320" s="795">
        <f t="shared" si="48"/>
        <v>0</v>
      </c>
      <c r="K320" s="108">
        <f t="shared" si="42"/>
        <v>2039</v>
      </c>
      <c r="L320" s="92" t="str">
        <f t="shared" si="43"/>
        <v/>
      </c>
    </row>
    <row r="321" spans="1:12" ht="12.75" customHeight="1">
      <c r="A321" s="90" t="str">
        <f>IF(B321&lt;&gt;"",MAX(A$28:A320)+1,IF(ISNA(HLOOKUP(DATE(YEAR($C$21),MONTH(C321),DAY(C321)),$C$21:$N$21,1,0)),"",MAX(A$28:A320)+1))</f>
        <v/>
      </c>
      <c r="B321" s="91" t="str">
        <f>IF(C321&lt;$K$16,"",IF(ISNA(HLOOKUP(DATE(YEAR($C$20),MONTH($C321),DAY($C321)),$C$20:$N$20,1,0)),"",MAX(B$28:B320)+1))</f>
        <v/>
      </c>
      <c r="C321" s="106">
        <f t="shared" si="49"/>
        <v>50921</v>
      </c>
      <c r="D321" s="795">
        <f t="shared" si="44"/>
        <v>0</v>
      </c>
      <c r="E321" s="795" t="str">
        <f>IF($A321="","",IF($A321=1,D$29*$F321*($C321-$C$28)/$K$17,
(D321*ROUND(($C321-VLOOKUP($A321-1,$A$28:$C321,3,0))/30,0)/12*$F321)
))</f>
        <v/>
      </c>
      <c r="F321" s="107">
        <f t="shared" si="45"/>
        <v>0.06</v>
      </c>
      <c r="G321" s="795">
        <f t="shared" si="41"/>
        <v>0</v>
      </c>
      <c r="H321" s="795">
        <f t="shared" si="46"/>
        <v>0</v>
      </c>
      <c r="I321" s="795">
        <f t="shared" si="47"/>
        <v>0</v>
      </c>
      <c r="J321" s="795">
        <f t="shared" si="48"/>
        <v>0</v>
      </c>
      <c r="K321" s="108">
        <f t="shared" si="42"/>
        <v>2039</v>
      </c>
      <c r="L321" s="92" t="str">
        <f t="shared" si="43"/>
        <v/>
      </c>
    </row>
    <row r="322" spans="1:12" ht="12.75" customHeight="1">
      <c r="A322" s="90">
        <f>IF(B322&lt;&gt;"",MAX(A$28:A321)+1,IF(ISNA(HLOOKUP(DATE(YEAR($C$21),MONTH(C322),DAY(C322)),$C$21:$N$21,1,0)),"",MAX(A$28:A321)+1))</f>
        <v>98</v>
      </c>
      <c r="B322" s="91">
        <f>IF(C322&lt;$K$16,"",IF(ISNA(HLOOKUP(DATE(YEAR($C$20),MONTH($C322),DAY($C322)),$C$20:$N$20,1,0)),"",MAX(B$28:B321)+1))</f>
        <v>86</v>
      </c>
      <c r="C322" s="106">
        <f t="shared" si="49"/>
        <v>50951</v>
      </c>
      <c r="D322" s="795">
        <f t="shared" si="44"/>
        <v>0</v>
      </c>
      <c r="E322" s="795">
        <f>IF($A322="","",IF($A322=1,D$29*$F322*($C322-$C$28)/$K$17,
(D322*ROUND(($C322-VLOOKUP($A322-1,$A$28:$C322,3,0))/30,0)/12*$F322)
))</f>
        <v>0</v>
      </c>
      <c r="F322" s="107">
        <f t="shared" si="45"/>
        <v>0.06</v>
      </c>
      <c r="G322" s="795">
        <f t="shared" si="41"/>
        <v>0</v>
      </c>
      <c r="H322" s="795">
        <f t="shared" si="46"/>
        <v>0</v>
      </c>
      <c r="I322" s="795">
        <f t="shared" si="47"/>
        <v>0</v>
      </c>
      <c r="J322" s="795">
        <f t="shared" si="48"/>
        <v>0</v>
      </c>
      <c r="K322" s="108">
        <f t="shared" si="42"/>
        <v>2039</v>
      </c>
      <c r="L322" s="92" t="str">
        <f t="shared" si="43"/>
        <v/>
      </c>
    </row>
    <row r="323" spans="1:12" ht="12.75" customHeight="1">
      <c r="A323" s="90" t="str">
        <f>IF(B323&lt;&gt;"",MAX(A$28:A322)+1,IF(ISNA(HLOOKUP(DATE(YEAR($C$21),MONTH(C323),DAY(C323)),$C$21:$N$21,1,0)),"",MAX(A$28:A322)+1))</f>
        <v/>
      </c>
      <c r="B323" s="91" t="str">
        <f>IF(C323&lt;$K$16,"",IF(ISNA(HLOOKUP(DATE(YEAR($C$20),MONTH($C323),DAY($C323)),$C$20:$N$20,1,0)),"",MAX(B$28:B322)+1))</f>
        <v/>
      </c>
      <c r="C323" s="106">
        <f t="shared" si="49"/>
        <v>50982</v>
      </c>
      <c r="D323" s="795">
        <f t="shared" si="44"/>
        <v>0</v>
      </c>
      <c r="E323" s="795" t="str">
        <f>IF($A323="","",IF($A323=1,D$29*$F323*($C323-$C$28)/$K$17,
(D323*ROUND(($C323-VLOOKUP($A323-1,$A$28:$C323,3,0))/30,0)/12*$F323)
))</f>
        <v/>
      </c>
      <c r="F323" s="107">
        <f t="shared" si="45"/>
        <v>0.06</v>
      </c>
      <c r="G323" s="795">
        <f t="shared" si="41"/>
        <v>0</v>
      </c>
      <c r="H323" s="795">
        <f t="shared" si="46"/>
        <v>0</v>
      </c>
      <c r="I323" s="795">
        <f t="shared" si="47"/>
        <v>0</v>
      </c>
      <c r="J323" s="795">
        <f t="shared" si="48"/>
        <v>0</v>
      </c>
      <c r="K323" s="108">
        <f t="shared" si="42"/>
        <v>2039</v>
      </c>
      <c r="L323" s="92" t="str">
        <f t="shared" si="43"/>
        <v/>
      </c>
    </row>
    <row r="324" spans="1:12" ht="12.75" customHeight="1">
      <c r="A324" s="90" t="str">
        <f>IF(B324&lt;&gt;"",MAX(A$28:A323)+1,IF(ISNA(HLOOKUP(DATE(YEAR($C$21),MONTH(C324),DAY(C324)),$C$21:$N$21,1,0)),"",MAX(A$28:A323)+1))</f>
        <v/>
      </c>
      <c r="B324" s="91" t="str">
        <f>IF(C324&lt;$K$16,"",IF(ISNA(HLOOKUP(DATE(YEAR($C$20),MONTH($C324),DAY($C324)),$C$20:$N$20,1,0)),"",MAX(B$28:B323)+1))</f>
        <v/>
      </c>
      <c r="C324" s="106">
        <f t="shared" si="49"/>
        <v>51013</v>
      </c>
      <c r="D324" s="795">
        <f t="shared" si="44"/>
        <v>0</v>
      </c>
      <c r="E324" s="795" t="str">
        <f>IF($A324="","",IF($A324=1,D$29*$F324*($C324-$C$28)/$K$17,
(D324*ROUND(($C324-VLOOKUP($A324-1,$A$28:$C324,3,0))/30,0)/12*$F324)
))</f>
        <v/>
      </c>
      <c r="F324" s="107">
        <f t="shared" si="45"/>
        <v>0.06</v>
      </c>
      <c r="G324" s="795">
        <f t="shared" si="41"/>
        <v>0</v>
      </c>
      <c r="H324" s="795">
        <f t="shared" si="46"/>
        <v>0</v>
      </c>
      <c r="I324" s="795">
        <f t="shared" si="47"/>
        <v>0</v>
      </c>
      <c r="J324" s="795">
        <f t="shared" si="48"/>
        <v>0</v>
      </c>
      <c r="K324" s="108">
        <f t="shared" si="42"/>
        <v>2039</v>
      </c>
      <c r="L324" s="92" t="str">
        <f t="shared" si="43"/>
        <v/>
      </c>
    </row>
    <row r="325" spans="1:12" ht="12.75" customHeight="1">
      <c r="A325" s="90">
        <f>IF(B325&lt;&gt;"",MAX(A$28:A324)+1,IF(ISNA(HLOOKUP(DATE(YEAR($C$21),MONTH(C325),DAY(C325)),$C$21:$N$21,1,0)),"",MAX(A$28:A324)+1))</f>
        <v>99</v>
      </c>
      <c r="B325" s="91">
        <f>IF(C325&lt;$K$16,"",IF(ISNA(HLOOKUP(DATE(YEAR($C$20),MONTH($C325),DAY($C325)),$C$20:$N$20,1,0)),"",MAX(B$28:B324)+1))</f>
        <v>87</v>
      </c>
      <c r="C325" s="106">
        <f t="shared" si="49"/>
        <v>51043</v>
      </c>
      <c r="D325" s="795">
        <f t="shared" si="44"/>
        <v>0</v>
      </c>
      <c r="E325" s="795">
        <f>IF($A325="","",IF($A325=1,D$29*$F325*($C325-$C$28)/$K$17,
(D325*ROUND(($C325-VLOOKUP($A325-1,$A$28:$C325,3,0))/30,0)/12*$F325)
))</f>
        <v>0</v>
      </c>
      <c r="F325" s="107">
        <f t="shared" si="45"/>
        <v>0.06</v>
      </c>
      <c r="G325" s="795">
        <f t="shared" si="41"/>
        <v>0</v>
      </c>
      <c r="H325" s="795">
        <f t="shared" si="46"/>
        <v>0</v>
      </c>
      <c r="I325" s="795">
        <f t="shared" si="47"/>
        <v>0</v>
      </c>
      <c r="J325" s="795">
        <f t="shared" si="48"/>
        <v>0</v>
      </c>
      <c r="K325" s="108">
        <f t="shared" si="42"/>
        <v>2039</v>
      </c>
      <c r="L325" s="92" t="str">
        <f t="shared" si="43"/>
        <v/>
      </c>
    </row>
    <row r="326" spans="1:12" ht="12.75" customHeight="1">
      <c r="A326" s="90" t="str">
        <f>IF(B326&lt;&gt;"",MAX(A$28:A325)+1,IF(ISNA(HLOOKUP(DATE(YEAR($C$21),MONTH(C326),DAY(C326)),$C$21:$N$21,1,0)),"",MAX(A$28:A325)+1))</f>
        <v/>
      </c>
      <c r="B326" s="91" t="str">
        <f>IF(C326&lt;$K$16,"",IF(ISNA(HLOOKUP(DATE(YEAR($C$20),MONTH($C326),DAY($C326)),$C$20:$N$20,1,0)),"",MAX(B$28:B325)+1))</f>
        <v/>
      </c>
      <c r="C326" s="106">
        <f t="shared" si="49"/>
        <v>51074</v>
      </c>
      <c r="D326" s="795">
        <f t="shared" si="44"/>
        <v>0</v>
      </c>
      <c r="E326" s="795" t="str">
        <f>IF($A326="","",IF($A326=1,D$29*$F326*($C326-$C$28)/$K$17,
(D326*ROUND(($C326-VLOOKUP($A326-1,$A$28:$C326,3,0))/30,0)/12*$F326)
))</f>
        <v/>
      </c>
      <c r="F326" s="107">
        <f t="shared" si="45"/>
        <v>0.06</v>
      </c>
      <c r="G326" s="795">
        <f t="shared" si="41"/>
        <v>0</v>
      </c>
      <c r="H326" s="795">
        <f t="shared" si="46"/>
        <v>0</v>
      </c>
      <c r="I326" s="795">
        <f t="shared" si="47"/>
        <v>0</v>
      </c>
      <c r="J326" s="795">
        <f t="shared" si="48"/>
        <v>0</v>
      </c>
      <c r="K326" s="108">
        <f t="shared" si="42"/>
        <v>2039</v>
      </c>
      <c r="L326" s="92" t="str">
        <f t="shared" si="43"/>
        <v/>
      </c>
    </row>
    <row r="327" spans="1:12" ht="12.75" customHeight="1">
      <c r="A327" s="90" t="str">
        <f>IF(B327&lt;&gt;"",MAX(A$28:A326)+1,IF(ISNA(HLOOKUP(DATE(YEAR($C$21),MONTH(C327),DAY(C327)),$C$21:$N$21,1,0)),"",MAX(A$28:A326)+1))</f>
        <v/>
      </c>
      <c r="B327" s="91" t="str">
        <f>IF(C327&lt;$K$16,"",IF(ISNA(HLOOKUP(DATE(YEAR($C$20),MONTH($C327),DAY($C327)),$C$20:$N$20,1,0)),"",MAX(B$28:B326)+1))</f>
        <v/>
      </c>
      <c r="C327" s="106">
        <f t="shared" si="49"/>
        <v>51104</v>
      </c>
      <c r="D327" s="795">
        <f t="shared" si="44"/>
        <v>0</v>
      </c>
      <c r="E327" s="795" t="str">
        <f>IF($A327="","",IF($A327=1,D$29*$F327*($C327-$C$28)/$K$17,
(D327*ROUND(($C327-VLOOKUP($A327-1,$A$28:$C327,3,0))/30,0)/12*$F327)
))</f>
        <v/>
      </c>
      <c r="F327" s="107">
        <f t="shared" si="45"/>
        <v>0.06</v>
      </c>
      <c r="G327" s="795">
        <f t="shared" si="41"/>
        <v>0</v>
      </c>
      <c r="H327" s="795">
        <f t="shared" si="46"/>
        <v>0</v>
      </c>
      <c r="I327" s="795">
        <f t="shared" si="47"/>
        <v>0</v>
      </c>
      <c r="J327" s="795">
        <f t="shared" si="48"/>
        <v>0</v>
      </c>
      <c r="K327" s="108">
        <f t="shared" si="42"/>
        <v>2039</v>
      </c>
      <c r="L327" s="92" t="str">
        <f t="shared" si="43"/>
        <v/>
      </c>
    </row>
    <row r="328" spans="1:12" ht="12.75" customHeight="1">
      <c r="A328" s="90">
        <f>IF(B328&lt;&gt;"",MAX(A$28:A327)+1,IF(ISNA(HLOOKUP(DATE(YEAR($C$21),MONTH(C328),DAY(C328)),$C$21:$N$21,1,0)),"",MAX(A$28:A327)+1))</f>
        <v>100</v>
      </c>
      <c r="B328" s="91">
        <f>IF(C328&lt;$K$16,"",IF(ISNA(HLOOKUP(DATE(YEAR($C$20),MONTH($C328),DAY($C328)),$C$20:$N$20,1,0)),"",MAX(B$28:B327)+1))</f>
        <v>88</v>
      </c>
      <c r="C328" s="106">
        <f t="shared" si="49"/>
        <v>51135</v>
      </c>
      <c r="D328" s="795">
        <f t="shared" si="44"/>
        <v>0</v>
      </c>
      <c r="E328" s="795">
        <f>IF($A328="","",IF($A328=1,D$29*$F328*($C328-$C$28)/$K$17,
(D328*ROUND(($C328-VLOOKUP($A328-1,$A$28:$C328,3,0))/30,0)/12*$F328)
))</f>
        <v>0</v>
      </c>
      <c r="F328" s="107">
        <f t="shared" si="45"/>
        <v>0.06</v>
      </c>
      <c r="G328" s="795">
        <f t="shared" si="41"/>
        <v>0</v>
      </c>
      <c r="H328" s="795">
        <f t="shared" si="46"/>
        <v>0</v>
      </c>
      <c r="I328" s="795">
        <f t="shared" si="47"/>
        <v>0</v>
      </c>
      <c r="J328" s="795">
        <f t="shared" si="48"/>
        <v>0</v>
      </c>
      <c r="K328" s="108">
        <f t="shared" si="42"/>
        <v>2039</v>
      </c>
      <c r="L328" s="92" t="str">
        <f t="shared" si="43"/>
        <v/>
      </c>
    </row>
    <row r="329" spans="1:12" ht="12.75" customHeight="1">
      <c r="A329" s="90" t="str">
        <f>IF(B329&lt;&gt;"",MAX(A$28:A328)+1,IF(ISNA(HLOOKUP(DATE(YEAR($C$21),MONTH(C329),DAY(C329)),$C$21:$N$21,1,0)),"",MAX(A$28:A328)+1))</f>
        <v/>
      </c>
      <c r="B329" s="91" t="str">
        <f>IF(C329&lt;$K$16,"",IF(ISNA(HLOOKUP(DATE(YEAR($C$20),MONTH($C329),DAY($C329)),$C$20:$N$20,1,0)),"",MAX(B$28:B328)+1))</f>
        <v/>
      </c>
      <c r="C329" s="106">
        <f t="shared" si="49"/>
        <v>51166</v>
      </c>
      <c r="D329" s="795">
        <f t="shared" si="44"/>
        <v>0</v>
      </c>
      <c r="E329" s="795" t="str">
        <f>IF($A329="","",IF($A329=1,D$29*$F329*($C329-$C$28)/$K$17,
(D329*ROUND(($C329-VLOOKUP($A329-1,$A$28:$C329,3,0))/30,0)/12*$F329)
))</f>
        <v/>
      </c>
      <c r="F329" s="107">
        <f t="shared" si="45"/>
        <v>0.06</v>
      </c>
      <c r="G329" s="795">
        <f t="shared" si="41"/>
        <v>0</v>
      </c>
      <c r="H329" s="795">
        <f t="shared" si="46"/>
        <v>0</v>
      </c>
      <c r="I329" s="795">
        <f t="shared" si="47"/>
        <v>0</v>
      </c>
      <c r="J329" s="795">
        <f t="shared" si="48"/>
        <v>0</v>
      </c>
      <c r="K329" s="108">
        <f t="shared" si="42"/>
        <v>2040</v>
      </c>
      <c r="L329" s="92" t="str">
        <f t="shared" si="43"/>
        <v/>
      </c>
    </row>
    <row r="330" spans="1:12" ht="12.75" customHeight="1">
      <c r="A330" s="90" t="str">
        <f>IF(B330&lt;&gt;"",MAX(A$28:A329)+1,IF(ISNA(HLOOKUP(DATE(YEAR($C$21),MONTH(C330),DAY(C330)),$C$21:$N$21,1,0)),"",MAX(A$28:A329)+1))</f>
        <v/>
      </c>
      <c r="B330" s="91" t="str">
        <f>IF(C330&lt;$K$16,"",IF(ISNA(HLOOKUP(DATE(YEAR($C$20),MONTH($C330),DAY($C330)),$C$20:$N$20,1,0)),"",MAX(B$28:B329)+1))</f>
        <v/>
      </c>
      <c r="C330" s="106">
        <f t="shared" si="49"/>
        <v>51195</v>
      </c>
      <c r="D330" s="795">
        <f t="shared" si="44"/>
        <v>0</v>
      </c>
      <c r="E330" s="795" t="str">
        <f>IF($A330="","",IF($A330=1,D$29*$F330*($C330-$C$28)/$K$17,
(D330*ROUND(($C330-VLOOKUP($A330-1,$A$28:$C330,3,0))/30,0)/12*$F330)
))</f>
        <v/>
      </c>
      <c r="F330" s="107">
        <f t="shared" si="45"/>
        <v>0.06</v>
      </c>
      <c r="G330" s="795">
        <f t="shared" si="41"/>
        <v>0</v>
      </c>
      <c r="H330" s="795">
        <f t="shared" si="46"/>
        <v>0</v>
      </c>
      <c r="I330" s="795">
        <f t="shared" si="47"/>
        <v>0</v>
      </c>
      <c r="J330" s="795">
        <f t="shared" si="48"/>
        <v>0</v>
      </c>
      <c r="K330" s="108">
        <f t="shared" si="42"/>
        <v>2040</v>
      </c>
      <c r="L330" s="92" t="str">
        <f t="shared" si="43"/>
        <v/>
      </c>
    </row>
    <row r="331" spans="1:12" ht="12.75" customHeight="1">
      <c r="A331" s="90">
        <f>IF(B331&lt;&gt;"",MAX(A$28:A330)+1,IF(ISNA(HLOOKUP(DATE(YEAR($C$21),MONTH(C331),DAY(C331)),$C$21:$N$21,1,0)),"",MAX(A$28:A330)+1))</f>
        <v>101</v>
      </c>
      <c r="B331" s="91">
        <f>IF(C331&lt;$K$16,"",IF(ISNA(HLOOKUP(DATE(YEAR($C$20),MONTH($C331),DAY($C331)),$C$20:$N$20,1,0)),"",MAX(B$28:B330)+1))</f>
        <v>89</v>
      </c>
      <c r="C331" s="106">
        <f t="shared" si="49"/>
        <v>51226</v>
      </c>
      <c r="D331" s="795">
        <f t="shared" si="44"/>
        <v>0</v>
      </c>
      <c r="E331" s="795">
        <f>IF($A331="","",IF($A331=1,D$29*$F331*($C331-$C$28)/$K$17,
(D331*ROUND(($C331-VLOOKUP($A331-1,$A$28:$C331,3,0))/30,0)/12*$F331)
))</f>
        <v>0</v>
      </c>
      <c r="F331" s="107">
        <f t="shared" si="45"/>
        <v>0.06</v>
      </c>
      <c r="G331" s="795">
        <f t="shared" si="41"/>
        <v>0</v>
      </c>
      <c r="H331" s="795">
        <f t="shared" si="46"/>
        <v>0</v>
      </c>
      <c r="I331" s="795">
        <f t="shared" si="47"/>
        <v>0</v>
      </c>
      <c r="J331" s="795">
        <f t="shared" si="48"/>
        <v>0</v>
      </c>
      <c r="K331" s="108">
        <f t="shared" si="42"/>
        <v>2040</v>
      </c>
      <c r="L331" s="92" t="str">
        <f t="shared" si="43"/>
        <v/>
      </c>
    </row>
    <row r="332" spans="1:12" ht="12.75" customHeight="1">
      <c r="A332" s="90" t="str">
        <f>IF(B332&lt;&gt;"",MAX(A$28:A331)+1,IF(ISNA(HLOOKUP(DATE(YEAR($C$21),MONTH(C332),DAY(C332)),$C$21:$N$21,1,0)),"",MAX(A$28:A331)+1))</f>
        <v/>
      </c>
      <c r="B332" s="91" t="str">
        <f>IF(C332&lt;$K$16,"",IF(ISNA(HLOOKUP(DATE(YEAR($C$20),MONTH($C332),DAY($C332)),$C$20:$N$20,1,0)),"",MAX(B$28:B331)+1))</f>
        <v/>
      </c>
      <c r="C332" s="106">
        <f t="shared" si="49"/>
        <v>51256</v>
      </c>
      <c r="D332" s="795">
        <f t="shared" si="44"/>
        <v>0</v>
      </c>
      <c r="E332" s="795" t="str">
        <f>IF($A332="","",IF($A332=1,D$29*$F332*($C332-$C$28)/$K$17,
(D332*ROUND(($C332-VLOOKUP($A332-1,$A$28:$C332,3,0))/30,0)/12*$F332)
))</f>
        <v/>
      </c>
      <c r="F332" s="107">
        <f t="shared" si="45"/>
        <v>0.06</v>
      </c>
      <c r="G332" s="795">
        <f t="shared" si="41"/>
        <v>0</v>
      </c>
      <c r="H332" s="795">
        <f t="shared" si="46"/>
        <v>0</v>
      </c>
      <c r="I332" s="795">
        <f t="shared" si="47"/>
        <v>0</v>
      </c>
      <c r="J332" s="795">
        <f t="shared" si="48"/>
        <v>0</v>
      </c>
      <c r="K332" s="108">
        <f t="shared" si="42"/>
        <v>2040</v>
      </c>
      <c r="L332" s="92" t="str">
        <f t="shared" si="43"/>
        <v/>
      </c>
    </row>
    <row r="333" spans="1:12" ht="12.75" customHeight="1">
      <c r="A333" s="90" t="str">
        <f>IF(B333&lt;&gt;"",MAX(A$28:A332)+1,IF(ISNA(HLOOKUP(DATE(YEAR($C$21),MONTH(C333),DAY(C333)),$C$21:$N$21,1,0)),"",MAX(A$28:A332)+1))</f>
        <v/>
      </c>
      <c r="B333" s="91" t="str">
        <f>IF(C333&lt;$K$16,"",IF(ISNA(HLOOKUP(DATE(YEAR($C$20),MONTH($C333),DAY($C333)),$C$20:$N$20,1,0)),"",MAX(B$28:B332)+1))</f>
        <v/>
      </c>
      <c r="C333" s="106">
        <f t="shared" si="49"/>
        <v>51287</v>
      </c>
      <c r="D333" s="795">
        <f t="shared" si="44"/>
        <v>0</v>
      </c>
      <c r="E333" s="795" t="str">
        <f>IF($A333="","",IF($A333=1,D$29*$F333*($C333-$C$28)/$K$17,
(D333*ROUND(($C333-VLOOKUP($A333-1,$A$28:$C333,3,0))/30,0)/12*$F333)
))</f>
        <v/>
      </c>
      <c r="F333" s="107">
        <f t="shared" si="45"/>
        <v>0.06</v>
      </c>
      <c r="G333" s="795">
        <f t="shared" si="41"/>
        <v>0</v>
      </c>
      <c r="H333" s="795">
        <f t="shared" si="46"/>
        <v>0</v>
      </c>
      <c r="I333" s="795">
        <f t="shared" si="47"/>
        <v>0</v>
      </c>
      <c r="J333" s="795">
        <f t="shared" si="48"/>
        <v>0</v>
      </c>
      <c r="K333" s="108">
        <f t="shared" si="42"/>
        <v>2040</v>
      </c>
      <c r="L333" s="92" t="str">
        <f t="shared" si="43"/>
        <v/>
      </c>
    </row>
    <row r="334" spans="1:12" ht="12.75" customHeight="1">
      <c r="A334" s="90">
        <f>IF(B334&lt;&gt;"",MAX(A$28:A333)+1,IF(ISNA(HLOOKUP(DATE(YEAR($C$21),MONTH(C334),DAY(C334)),$C$21:$N$21,1,0)),"",MAX(A$28:A333)+1))</f>
        <v>102</v>
      </c>
      <c r="B334" s="91">
        <f>IF(C334&lt;$K$16,"",IF(ISNA(HLOOKUP(DATE(YEAR($C$20),MONTH($C334),DAY($C334)),$C$20:$N$20,1,0)),"",MAX(B$28:B333)+1))</f>
        <v>90</v>
      </c>
      <c r="C334" s="106">
        <f t="shared" si="49"/>
        <v>51317</v>
      </c>
      <c r="D334" s="795">
        <f t="shared" si="44"/>
        <v>0</v>
      </c>
      <c r="E334" s="795">
        <f>IF($A334="","",IF($A334=1,D$29*$F334*($C334-$C$28)/$K$17,
(D334*ROUND(($C334-VLOOKUP($A334-1,$A$28:$C334,3,0))/30,0)/12*$F334)
))</f>
        <v>0</v>
      </c>
      <c r="F334" s="107">
        <f t="shared" si="45"/>
        <v>0.06</v>
      </c>
      <c r="G334" s="795">
        <f t="shared" si="41"/>
        <v>0</v>
      </c>
      <c r="H334" s="795">
        <f t="shared" si="46"/>
        <v>0</v>
      </c>
      <c r="I334" s="795">
        <f t="shared" si="47"/>
        <v>0</v>
      </c>
      <c r="J334" s="795">
        <f t="shared" si="48"/>
        <v>0</v>
      </c>
      <c r="K334" s="108">
        <f t="shared" si="42"/>
        <v>2040</v>
      </c>
      <c r="L334" s="92" t="str">
        <f t="shared" si="43"/>
        <v/>
      </c>
    </row>
    <row r="335" spans="1:12" ht="12.75" customHeight="1">
      <c r="A335" s="90" t="str">
        <f>IF(B335&lt;&gt;"",MAX(A$28:A334)+1,IF(ISNA(HLOOKUP(DATE(YEAR($C$21),MONTH(C335),DAY(C335)),$C$21:$N$21,1,0)),"",MAX(A$28:A334)+1))</f>
        <v/>
      </c>
      <c r="B335" s="91" t="str">
        <f>IF(C335&lt;$K$16,"",IF(ISNA(HLOOKUP(DATE(YEAR($C$20),MONTH($C335),DAY($C335)),$C$20:$N$20,1,0)),"",MAX(B$28:B334)+1))</f>
        <v/>
      </c>
      <c r="C335" s="106">
        <f t="shared" si="49"/>
        <v>51348</v>
      </c>
      <c r="D335" s="795">
        <f t="shared" si="44"/>
        <v>0</v>
      </c>
      <c r="E335" s="795" t="str">
        <f>IF($A335="","",IF($A335=1,D$29*$F335*($C335-$C$28)/$K$17,
(D335*ROUND(($C335-VLOOKUP($A335-1,$A$28:$C335,3,0))/30,0)/12*$F335)
))</f>
        <v/>
      </c>
      <c r="F335" s="107">
        <f t="shared" si="45"/>
        <v>0.06</v>
      </c>
      <c r="G335" s="795">
        <f t="shared" si="41"/>
        <v>0</v>
      </c>
      <c r="H335" s="795">
        <f t="shared" si="46"/>
        <v>0</v>
      </c>
      <c r="I335" s="795">
        <f t="shared" si="47"/>
        <v>0</v>
      </c>
      <c r="J335" s="795">
        <f t="shared" si="48"/>
        <v>0</v>
      </c>
      <c r="K335" s="108">
        <f t="shared" si="42"/>
        <v>2040</v>
      </c>
      <c r="L335" s="92" t="str">
        <f t="shared" si="43"/>
        <v/>
      </c>
    </row>
    <row r="336" spans="1:12" ht="12.75" customHeight="1">
      <c r="A336" s="90" t="str">
        <f>IF(B336&lt;&gt;"",MAX(A$28:A335)+1,IF(ISNA(HLOOKUP(DATE(YEAR($C$21),MONTH(C336),DAY(C336)),$C$21:$N$21,1,0)),"",MAX(A$28:A335)+1))</f>
        <v/>
      </c>
      <c r="B336" s="91" t="str">
        <f>IF(C336&lt;$K$16,"",IF(ISNA(HLOOKUP(DATE(YEAR($C$20),MONTH($C336),DAY($C336)),$C$20:$N$20,1,0)),"",MAX(B$28:B335)+1))</f>
        <v/>
      </c>
      <c r="C336" s="106">
        <f t="shared" si="49"/>
        <v>51379</v>
      </c>
      <c r="D336" s="795">
        <f t="shared" si="44"/>
        <v>0</v>
      </c>
      <c r="E336" s="795" t="str">
        <f>IF($A336="","",IF($A336=1,D$29*$F336*($C336-$C$28)/$K$17,
(D336*ROUND(($C336-VLOOKUP($A336-1,$A$28:$C336,3,0))/30,0)/12*$F336)
))</f>
        <v/>
      </c>
      <c r="F336" s="107">
        <f t="shared" si="45"/>
        <v>0.06</v>
      </c>
      <c r="G336" s="795">
        <f t="shared" si="41"/>
        <v>0</v>
      </c>
      <c r="H336" s="795">
        <f t="shared" si="46"/>
        <v>0</v>
      </c>
      <c r="I336" s="795">
        <f t="shared" si="47"/>
        <v>0</v>
      </c>
      <c r="J336" s="795">
        <f t="shared" si="48"/>
        <v>0</v>
      </c>
      <c r="K336" s="108">
        <f t="shared" si="42"/>
        <v>2040</v>
      </c>
      <c r="L336" s="92" t="str">
        <f t="shared" si="43"/>
        <v/>
      </c>
    </row>
    <row r="337" spans="1:12" ht="12.75" customHeight="1">
      <c r="A337" s="90">
        <f>IF(B337&lt;&gt;"",MAX(A$28:A336)+1,IF(ISNA(HLOOKUP(DATE(YEAR($C$21),MONTH(C337),DAY(C337)),$C$21:$N$21,1,0)),"",MAX(A$28:A336)+1))</f>
        <v>103</v>
      </c>
      <c r="B337" s="91">
        <f>IF(C337&lt;$K$16,"",IF(ISNA(HLOOKUP(DATE(YEAR($C$20),MONTH($C337),DAY($C337)),$C$20:$N$20,1,0)),"",MAX(B$28:B336)+1))</f>
        <v>91</v>
      </c>
      <c r="C337" s="106">
        <f t="shared" si="49"/>
        <v>51409</v>
      </c>
      <c r="D337" s="795">
        <f t="shared" si="44"/>
        <v>0</v>
      </c>
      <c r="E337" s="795">
        <f>IF($A337="","",IF($A337=1,D$29*$F337*($C337-$C$28)/$K$17,
(D337*ROUND(($C337-VLOOKUP($A337-1,$A$28:$C337,3,0))/30,0)/12*$F337)
))</f>
        <v>0</v>
      </c>
      <c r="F337" s="107">
        <f t="shared" si="45"/>
        <v>0.06</v>
      </c>
      <c r="G337" s="795">
        <f t="shared" si="41"/>
        <v>0</v>
      </c>
      <c r="H337" s="795">
        <f t="shared" si="46"/>
        <v>0</v>
      </c>
      <c r="I337" s="795">
        <f t="shared" si="47"/>
        <v>0</v>
      </c>
      <c r="J337" s="795">
        <f t="shared" si="48"/>
        <v>0</v>
      </c>
      <c r="K337" s="108">
        <f t="shared" si="42"/>
        <v>2040</v>
      </c>
      <c r="L337" s="92" t="str">
        <f t="shared" si="43"/>
        <v/>
      </c>
    </row>
    <row r="338" spans="1:12" ht="12.75" customHeight="1">
      <c r="A338" s="90" t="str">
        <f>IF(B338&lt;&gt;"",MAX(A$28:A337)+1,IF(ISNA(HLOOKUP(DATE(YEAR($C$21),MONTH(C338),DAY(C338)),$C$21:$N$21,1,0)),"",MAX(A$28:A337)+1))</f>
        <v/>
      </c>
      <c r="B338" s="91" t="str">
        <f>IF(C338&lt;$K$16,"",IF(ISNA(HLOOKUP(DATE(YEAR($C$20),MONTH($C338),DAY($C338)),$C$20:$N$20,1,0)),"",MAX(B$28:B337)+1))</f>
        <v/>
      </c>
      <c r="C338" s="106">
        <f t="shared" si="49"/>
        <v>51440</v>
      </c>
      <c r="D338" s="795">
        <f t="shared" si="44"/>
        <v>0</v>
      </c>
      <c r="E338" s="795" t="str">
        <f>IF($A338="","",IF($A338=1,D$29*$F338*($C338-$C$28)/$K$17,
(D338*ROUND(($C338-VLOOKUP($A338-1,$A$28:$C338,3,0))/30,0)/12*$F338)
))</f>
        <v/>
      </c>
      <c r="F338" s="107">
        <f t="shared" si="45"/>
        <v>0.06</v>
      </c>
      <c r="G338" s="795">
        <f t="shared" si="41"/>
        <v>0</v>
      </c>
      <c r="H338" s="795">
        <f t="shared" si="46"/>
        <v>0</v>
      </c>
      <c r="I338" s="795">
        <f t="shared" si="47"/>
        <v>0</v>
      </c>
      <c r="J338" s="795">
        <f t="shared" si="48"/>
        <v>0</v>
      </c>
      <c r="K338" s="108">
        <f t="shared" si="42"/>
        <v>2040</v>
      </c>
      <c r="L338" s="92" t="str">
        <f t="shared" si="43"/>
        <v/>
      </c>
    </row>
    <row r="339" spans="1:12" ht="12.75" customHeight="1">
      <c r="A339" s="90" t="str">
        <f>IF(B339&lt;&gt;"",MAX(A$28:A338)+1,IF(ISNA(HLOOKUP(DATE(YEAR($C$21),MONTH(C339),DAY(C339)),$C$21:$N$21,1,0)),"",MAX(A$28:A338)+1))</f>
        <v/>
      </c>
      <c r="B339" s="91" t="str">
        <f>IF(C339&lt;$K$16,"",IF(ISNA(HLOOKUP(DATE(YEAR($C$20),MONTH($C339),DAY($C339)),$C$20:$N$20,1,0)),"",MAX(B$28:B338)+1))</f>
        <v/>
      </c>
      <c r="C339" s="106">
        <f t="shared" si="49"/>
        <v>51470</v>
      </c>
      <c r="D339" s="795">
        <f t="shared" si="44"/>
        <v>0</v>
      </c>
      <c r="E339" s="795" t="str">
        <f>IF($A339="","",IF($A339=1,D$29*$F339*($C339-$C$28)/$K$17,
(D339*ROUND(($C339-VLOOKUP($A339-1,$A$28:$C339,3,0))/30,0)/12*$F339)
))</f>
        <v/>
      </c>
      <c r="F339" s="107">
        <f t="shared" si="45"/>
        <v>0.06</v>
      </c>
      <c r="G339" s="795">
        <f t="shared" si="41"/>
        <v>0</v>
      </c>
      <c r="H339" s="795">
        <f t="shared" si="46"/>
        <v>0</v>
      </c>
      <c r="I339" s="795">
        <f t="shared" si="47"/>
        <v>0</v>
      </c>
      <c r="J339" s="795">
        <f t="shared" si="48"/>
        <v>0</v>
      </c>
      <c r="K339" s="108">
        <f t="shared" si="42"/>
        <v>2040</v>
      </c>
      <c r="L339" s="92" t="str">
        <f t="shared" si="43"/>
        <v/>
      </c>
    </row>
    <row r="340" spans="1:12" ht="12.75" customHeight="1">
      <c r="A340" s="90">
        <f>IF(B340&lt;&gt;"",MAX(A$28:A339)+1,IF(ISNA(HLOOKUP(DATE(YEAR($C$21),MONTH(C340),DAY(C340)),$C$21:$N$21,1,0)),"",MAX(A$28:A339)+1))</f>
        <v>104</v>
      </c>
      <c r="B340" s="91">
        <f>IF(C340&lt;$K$16,"",IF(ISNA(HLOOKUP(DATE(YEAR($C$20),MONTH($C340),DAY($C340)),$C$20:$N$20,1,0)),"",MAX(B$28:B339)+1))</f>
        <v>92</v>
      </c>
      <c r="C340" s="106">
        <f t="shared" si="49"/>
        <v>51501</v>
      </c>
      <c r="D340" s="795">
        <f t="shared" si="44"/>
        <v>0</v>
      </c>
      <c r="E340" s="795">
        <f>IF($A340="","",IF($A340=1,D$29*$F340*($C340-$C$28)/$K$17,
(D340*ROUND(($C340-VLOOKUP($A340-1,$A$28:$C340,3,0))/30,0)/12*$F340)
))</f>
        <v>0</v>
      </c>
      <c r="F340" s="107">
        <f t="shared" si="45"/>
        <v>0.06</v>
      </c>
      <c r="G340" s="795">
        <f t="shared" si="41"/>
        <v>0</v>
      </c>
      <c r="H340" s="795">
        <f t="shared" si="46"/>
        <v>0</v>
      </c>
      <c r="I340" s="795">
        <f t="shared" si="47"/>
        <v>0</v>
      </c>
      <c r="J340" s="795">
        <f t="shared" si="48"/>
        <v>0</v>
      </c>
      <c r="K340" s="108">
        <f t="shared" si="42"/>
        <v>2040</v>
      </c>
      <c r="L340" s="92" t="str">
        <f t="shared" si="43"/>
        <v/>
      </c>
    </row>
    <row r="341" spans="1:12" ht="12.75" customHeight="1">
      <c r="A341" s="90" t="str">
        <f>IF(B341&lt;&gt;"",MAX(A$28:A340)+1,IF(ISNA(HLOOKUP(DATE(YEAR($C$21),MONTH(C341),DAY(C341)),$C$21:$N$21,1,0)),"",MAX(A$28:A340)+1))</f>
        <v/>
      </c>
      <c r="B341" s="91" t="str">
        <f>IF(C341&lt;$K$16,"",IF(ISNA(HLOOKUP(DATE(YEAR($C$20),MONTH($C341),DAY($C341)),$C$20:$N$20,1,0)),"",MAX(B$28:B340)+1))</f>
        <v/>
      </c>
      <c r="C341" s="106">
        <f t="shared" si="49"/>
        <v>51532</v>
      </c>
      <c r="D341" s="795">
        <f t="shared" si="44"/>
        <v>0</v>
      </c>
      <c r="E341" s="795" t="str">
        <f>IF($A341="","",IF($A341=1,D$29*$F341*($C341-$C$28)/$K$17,
(D341*ROUND(($C341-VLOOKUP($A341-1,$A$28:$C341,3,0))/30,0)/12*$F341)
))</f>
        <v/>
      </c>
      <c r="F341" s="107">
        <f t="shared" si="45"/>
        <v>0.06</v>
      </c>
      <c r="G341" s="795">
        <f t="shared" si="41"/>
        <v>0</v>
      </c>
      <c r="H341" s="795">
        <f t="shared" si="46"/>
        <v>0</v>
      </c>
      <c r="I341" s="795">
        <f t="shared" si="47"/>
        <v>0</v>
      </c>
      <c r="J341" s="795">
        <f t="shared" si="48"/>
        <v>0</v>
      </c>
      <c r="K341" s="108">
        <f t="shared" si="42"/>
        <v>2041</v>
      </c>
      <c r="L341" s="92" t="str">
        <f t="shared" si="43"/>
        <v/>
      </c>
    </row>
    <row r="342" spans="1:12" ht="12.75" customHeight="1">
      <c r="A342" s="90" t="str">
        <f>IF(B342&lt;&gt;"",MAX(A$28:A341)+1,IF(ISNA(HLOOKUP(DATE(YEAR($C$21),MONTH(C342),DAY(C342)),$C$21:$N$21,1,0)),"",MAX(A$28:A341)+1))</f>
        <v/>
      </c>
      <c r="B342" s="91" t="str">
        <f>IF(C342&lt;$K$16,"",IF(ISNA(HLOOKUP(DATE(YEAR($C$20),MONTH($C342),DAY($C342)),$C$20:$N$20,1,0)),"",MAX(B$28:B341)+1))</f>
        <v/>
      </c>
      <c r="C342" s="106">
        <f t="shared" si="49"/>
        <v>51560</v>
      </c>
      <c r="D342" s="795">
        <f t="shared" si="44"/>
        <v>0</v>
      </c>
      <c r="E342" s="795" t="str">
        <f>IF($A342="","",IF($A342=1,D$29*$F342*($C342-$C$28)/$K$17,
(D342*ROUND(($C342-VLOOKUP($A342-1,$A$28:$C342,3,0))/30,0)/12*$F342)
))</f>
        <v/>
      </c>
      <c r="F342" s="107">
        <f t="shared" si="45"/>
        <v>0.06</v>
      </c>
      <c r="G342" s="795">
        <f t="shared" si="41"/>
        <v>0</v>
      </c>
      <c r="H342" s="795">
        <f t="shared" si="46"/>
        <v>0</v>
      </c>
      <c r="I342" s="795">
        <f t="shared" si="47"/>
        <v>0</v>
      </c>
      <c r="J342" s="795">
        <f t="shared" si="48"/>
        <v>0</v>
      </c>
      <c r="K342" s="108">
        <f t="shared" si="42"/>
        <v>2041</v>
      </c>
      <c r="L342" s="92" t="str">
        <f t="shared" si="43"/>
        <v/>
      </c>
    </row>
    <row r="343" spans="1:12" ht="12.75" customHeight="1">
      <c r="A343" s="90">
        <f>IF(B343&lt;&gt;"",MAX(A$28:A342)+1,IF(ISNA(HLOOKUP(DATE(YEAR($C$21),MONTH(C343),DAY(C343)),$C$21:$N$21,1,0)),"",MAX(A$28:A342)+1))</f>
        <v>105</v>
      </c>
      <c r="B343" s="91">
        <f>IF(C343&lt;$K$16,"",IF(ISNA(HLOOKUP(DATE(YEAR($C$20),MONTH($C343),DAY($C343)),$C$20:$N$20,1,0)),"",MAX(B$28:B342)+1))</f>
        <v>93</v>
      </c>
      <c r="C343" s="106">
        <f t="shared" si="49"/>
        <v>51591</v>
      </c>
      <c r="D343" s="795">
        <f t="shared" si="44"/>
        <v>0</v>
      </c>
      <c r="E343" s="795">
        <f>IF($A343="","",IF($A343=1,D$29*$F343*($C343-$C$28)/$K$17,
(D343*ROUND(($C343-VLOOKUP($A343-1,$A$28:$C343,3,0))/30,0)/12*$F343)
))</f>
        <v>0</v>
      </c>
      <c r="F343" s="107">
        <f t="shared" si="45"/>
        <v>0.06</v>
      </c>
      <c r="G343" s="795">
        <f t="shared" si="41"/>
        <v>0</v>
      </c>
      <c r="H343" s="795">
        <f t="shared" si="46"/>
        <v>0</v>
      </c>
      <c r="I343" s="795">
        <f t="shared" si="47"/>
        <v>0</v>
      </c>
      <c r="J343" s="795">
        <f t="shared" si="48"/>
        <v>0</v>
      </c>
      <c r="K343" s="108">
        <f t="shared" si="42"/>
        <v>2041</v>
      </c>
      <c r="L343" s="92" t="str">
        <f t="shared" si="43"/>
        <v/>
      </c>
    </row>
    <row r="344" spans="1:12" ht="12.75" customHeight="1">
      <c r="A344" s="90" t="str">
        <f>IF(B344&lt;&gt;"",MAX(A$28:A343)+1,IF(ISNA(HLOOKUP(DATE(YEAR($C$21),MONTH(C344),DAY(C344)),$C$21:$N$21,1,0)),"",MAX(A$28:A343)+1))</f>
        <v/>
      </c>
      <c r="B344" s="91" t="str">
        <f>IF(C344&lt;$K$16,"",IF(ISNA(HLOOKUP(DATE(YEAR($C$20),MONTH($C344),DAY($C344)),$C$20:$N$20,1,0)),"",MAX(B$28:B343)+1))</f>
        <v/>
      </c>
      <c r="C344" s="106">
        <f t="shared" si="49"/>
        <v>51621</v>
      </c>
      <c r="D344" s="795">
        <f t="shared" si="44"/>
        <v>0</v>
      </c>
      <c r="E344" s="795" t="str">
        <f>IF($A344="","",IF($A344=1,D$29*$F344*($C344-$C$28)/$K$17,
(D344*ROUND(($C344-VLOOKUP($A344-1,$A$28:$C344,3,0))/30,0)/12*$F344)
))</f>
        <v/>
      </c>
      <c r="F344" s="107">
        <f t="shared" si="45"/>
        <v>0.06</v>
      </c>
      <c r="G344" s="795">
        <f t="shared" si="41"/>
        <v>0</v>
      </c>
      <c r="H344" s="795">
        <f t="shared" si="46"/>
        <v>0</v>
      </c>
      <c r="I344" s="795">
        <f t="shared" si="47"/>
        <v>0</v>
      </c>
      <c r="J344" s="795">
        <f t="shared" si="48"/>
        <v>0</v>
      </c>
      <c r="K344" s="108">
        <f t="shared" si="42"/>
        <v>2041</v>
      </c>
      <c r="L344" s="92" t="str">
        <f t="shared" si="43"/>
        <v/>
      </c>
    </row>
    <row r="345" spans="1:12" ht="12.75" customHeight="1">
      <c r="A345" s="90" t="str">
        <f>IF(B345&lt;&gt;"",MAX(A$28:A344)+1,IF(ISNA(HLOOKUP(DATE(YEAR($C$21),MONTH(C345),DAY(C345)),$C$21:$N$21,1,0)),"",MAX(A$28:A344)+1))</f>
        <v/>
      </c>
      <c r="B345" s="91" t="str">
        <f>IF(C345&lt;$K$16,"",IF(ISNA(HLOOKUP(DATE(YEAR($C$20),MONTH($C345),DAY($C345)),$C$20:$N$20,1,0)),"",MAX(B$28:B344)+1))</f>
        <v/>
      </c>
      <c r="C345" s="106">
        <f t="shared" si="49"/>
        <v>51652</v>
      </c>
      <c r="D345" s="795">
        <f t="shared" si="44"/>
        <v>0</v>
      </c>
      <c r="E345" s="795" t="str">
        <f>IF($A345="","",IF($A345=1,D$29*$F345*($C345-$C$28)/$K$17,
(D345*ROUND(($C345-VLOOKUP($A345-1,$A$28:$C345,3,0))/30,0)/12*$F345)
))</f>
        <v/>
      </c>
      <c r="F345" s="107">
        <f t="shared" si="45"/>
        <v>0.06</v>
      </c>
      <c r="G345" s="795">
        <f t="shared" si="41"/>
        <v>0</v>
      </c>
      <c r="H345" s="795">
        <f t="shared" si="46"/>
        <v>0</v>
      </c>
      <c r="I345" s="795">
        <f t="shared" si="47"/>
        <v>0</v>
      </c>
      <c r="J345" s="795">
        <f t="shared" si="48"/>
        <v>0</v>
      </c>
      <c r="K345" s="108">
        <f t="shared" si="42"/>
        <v>2041</v>
      </c>
      <c r="L345" s="92" t="str">
        <f t="shared" si="43"/>
        <v/>
      </c>
    </row>
    <row r="346" spans="1:12" ht="12.75" customHeight="1">
      <c r="A346" s="90">
        <f>IF(B346&lt;&gt;"",MAX(A$28:A345)+1,IF(ISNA(HLOOKUP(DATE(YEAR($C$21),MONTH(C346),DAY(C346)),$C$21:$N$21,1,0)),"",MAX(A$28:A345)+1))</f>
        <v>106</v>
      </c>
      <c r="B346" s="91">
        <f>IF(C346&lt;$K$16,"",IF(ISNA(HLOOKUP(DATE(YEAR($C$20),MONTH($C346),DAY($C346)),$C$20:$N$20,1,0)),"",MAX(B$28:B345)+1))</f>
        <v>94</v>
      </c>
      <c r="C346" s="106">
        <f t="shared" si="49"/>
        <v>51682</v>
      </c>
      <c r="D346" s="795">
        <f t="shared" si="44"/>
        <v>0</v>
      </c>
      <c r="E346" s="795">
        <f>IF($A346="","",IF($A346=1,D$29*$F346*($C346-$C$28)/$K$17,
(D346*ROUND(($C346-VLOOKUP($A346-1,$A$28:$C346,3,0))/30,0)/12*$F346)
))</f>
        <v>0</v>
      </c>
      <c r="F346" s="107">
        <f t="shared" si="45"/>
        <v>0.06</v>
      </c>
      <c r="G346" s="795">
        <f t="shared" si="41"/>
        <v>0</v>
      </c>
      <c r="H346" s="795">
        <f t="shared" si="46"/>
        <v>0</v>
      </c>
      <c r="I346" s="795">
        <f t="shared" si="47"/>
        <v>0</v>
      </c>
      <c r="J346" s="795">
        <f t="shared" si="48"/>
        <v>0</v>
      </c>
      <c r="K346" s="108">
        <f t="shared" si="42"/>
        <v>2041</v>
      </c>
      <c r="L346" s="92" t="str">
        <f t="shared" si="43"/>
        <v/>
      </c>
    </row>
    <row r="347" spans="1:12" ht="12.75" customHeight="1">
      <c r="A347" s="90" t="str">
        <f>IF(B347&lt;&gt;"",MAX(A$28:A346)+1,IF(ISNA(HLOOKUP(DATE(YEAR($C$21),MONTH(C347),DAY(C347)),$C$21:$N$21,1,0)),"",MAX(A$28:A346)+1))</f>
        <v/>
      </c>
      <c r="B347" s="91" t="str">
        <f>IF(C347&lt;$K$16,"",IF(ISNA(HLOOKUP(DATE(YEAR($C$20),MONTH($C347),DAY($C347)),$C$20:$N$20,1,0)),"",MAX(B$28:B346)+1))</f>
        <v/>
      </c>
      <c r="C347" s="106">
        <f t="shared" si="49"/>
        <v>51713</v>
      </c>
      <c r="D347" s="795">
        <f t="shared" si="44"/>
        <v>0</v>
      </c>
      <c r="E347" s="795" t="str">
        <f>IF($A347="","",IF($A347=1,D$29*$F347*($C347-$C$28)/$K$17,
(D347*ROUND(($C347-VLOOKUP($A347-1,$A$28:$C347,3,0))/30,0)/12*$F347)
))</f>
        <v/>
      </c>
      <c r="F347" s="107">
        <f t="shared" si="45"/>
        <v>0.06</v>
      </c>
      <c r="G347" s="795">
        <f t="shared" si="41"/>
        <v>0</v>
      </c>
      <c r="H347" s="795">
        <f t="shared" si="46"/>
        <v>0</v>
      </c>
      <c r="I347" s="795">
        <f t="shared" si="47"/>
        <v>0</v>
      </c>
      <c r="J347" s="795">
        <f t="shared" si="48"/>
        <v>0</v>
      </c>
      <c r="K347" s="108">
        <f t="shared" si="42"/>
        <v>2041</v>
      </c>
      <c r="L347" s="92" t="str">
        <f t="shared" si="43"/>
        <v/>
      </c>
    </row>
    <row r="348" spans="1:12" ht="12.75" customHeight="1">
      <c r="A348" s="90" t="str">
        <f>IF(B348&lt;&gt;"",MAX(A$28:A347)+1,IF(ISNA(HLOOKUP(DATE(YEAR($C$21),MONTH(C348),DAY(C348)),$C$21:$N$21,1,0)),"",MAX(A$28:A347)+1))</f>
        <v/>
      </c>
      <c r="B348" s="91" t="str">
        <f>IF(C348&lt;$K$16,"",IF(ISNA(HLOOKUP(DATE(YEAR($C$20),MONTH($C348),DAY($C348)),$C$20:$N$20,1,0)),"",MAX(B$28:B347)+1))</f>
        <v/>
      </c>
      <c r="C348" s="106">
        <f t="shared" si="49"/>
        <v>51744</v>
      </c>
      <c r="D348" s="795">
        <f t="shared" si="44"/>
        <v>0</v>
      </c>
      <c r="E348" s="795" t="str">
        <f>IF($A348="","",IF($A348=1,D$29*$F348*($C348-$C$28)/$K$17,
(D348*ROUND(($C348-VLOOKUP($A348-1,$A$28:$C348,3,0))/30,0)/12*$F348)
))</f>
        <v/>
      </c>
      <c r="F348" s="107">
        <f t="shared" si="45"/>
        <v>0.06</v>
      </c>
      <c r="G348" s="795">
        <f t="shared" ref="G348:G411" si="50">IF($A$26=1,I348,H348)</f>
        <v>0</v>
      </c>
      <c r="H348" s="795">
        <f t="shared" si="46"/>
        <v>0</v>
      </c>
      <c r="I348" s="795">
        <f t="shared" si="47"/>
        <v>0</v>
      </c>
      <c r="J348" s="795">
        <f t="shared" si="48"/>
        <v>0</v>
      </c>
      <c r="K348" s="108">
        <f t="shared" ref="K348:K411" si="51">YEAR(C348)</f>
        <v>2041</v>
      </c>
      <c r="L348" s="92" t="str">
        <f t="shared" ref="L348:L411" si="52">IF(AND(D348&gt;1,D349&lt;1),C348,"")</f>
        <v/>
      </c>
    </row>
    <row r="349" spans="1:12" ht="12.75" customHeight="1">
      <c r="A349" s="90">
        <f>IF(B349&lt;&gt;"",MAX(A$28:A348)+1,IF(ISNA(HLOOKUP(DATE(YEAR($C$21),MONTH(C349),DAY(C349)),$C$21:$N$21,1,0)),"",MAX(A$28:A348)+1))</f>
        <v>107</v>
      </c>
      <c r="B349" s="91">
        <f>IF(C349&lt;$K$16,"",IF(ISNA(HLOOKUP(DATE(YEAR($C$20),MONTH($C349),DAY($C349)),$C$20:$N$20,1,0)),"",MAX(B$28:B348)+1))</f>
        <v>95</v>
      </c>
      <c r="C349" s="106">
        <f t="shared" si="49"/>
        <v>51774</v>
      </c>
      <c r="D349" s="795">
        <f t="shared" ref="D349:D412" si="53">D348-G348</f>
        <v>0</v>
      </c>
      <c r="E349" s="795">
        <f>IF($A349="","",IF($A349=1,D$29*$F349*($C349-$C$28)/$K$17,
(D349*ROUND(($C349-VLOOKUP($A349-1,$A$28:$C349,3,0))/30,0)/12*$F349)
))</f>
        <v>0</v>
      </c>
      <c r="F349" s="107">
        <f t="shared" ref="F349:F412" si="54">IF(C349&gt;=$E$16,$E$15,$C$15)</f>
        <v>0.06</v>
      </c>
      <c r="G349" s="795">
        <f t="shared" si="50"/>
        <v>0</v>
      </c>
      <c r="H349" s="795">
        <f t="shared" ref="H349:H412" si="55">IF(B349="",0,MIN(D349,$E$14*$K$15/$H$16))</f>
        <v>0</v>
      </c>
      <c r="I349" s="795">
        <f t="shared" ref="I349:I412" si="56">IF(B349="",0,MIN(D348,IF(C349&gt;$E$16,$H$18,$H$15)/$H$16-E349))</f>
        <v>0</v>
      </c>
      <c r="J349" s="795">
        <f t="shared" ref="J349:J412" si="57">SUM(E349,G349)</f>
        <v>0</v>
      </c>
      <c r="K349" s="108">
        <f t="shared" si="51"/>
        <v>2041</v>
      </c>
      <c r="L349" s="92" t="str">
        <f t="shared" si="52"/>
        <v/>
      </c>
    </row>
    <row r="350" spans="1:12" ht="12.75" customHeight="1">
      <c r="A350" s="90" t="str">
        <f>IF(B350&lt;&gt;"",MAX(A$28:A349)+1,IF(ISNA(HLOOKUP(DATE(YEAR($C$21),MONTH(C350),DAY(C350)),$C$21:$N$21,1,0)),"",MAX(A$28:A349)+1))</f>
        <v/>
      </c>
      <c r="B350" s="91" t="str">
        <f>IF(C350&lt;$K$16,"",IF(ISNA(HLOOKUP(DATE(YEAR($C$20),MONTH($C350),DAY($C350)),$C$20:$N$20,1,0)),"",MAX(B$28:B349)+1))</f>
        <v/>
      </c>
      <c r="C350" s="106">
        <f t="shared" ref="C350:C413" si="58">DATE(YEAR(C349),MONTH(C349)+2,1)-1</f>
        <v>51805</v>
      </c>
      <c r="D350" s="795">
        <f t="shared" si="53"/>
        <v>0</v>
      </c>
      <c r="E350" s="795" t="str">
        <f>IF($A350="","",IF($A350=1,D$29*$F350*($C350-$C$28)/$K$17,
(D350*ROUND(($C350-VLOOKUP($A350-1,$A$28:$C350,3,0))/30,0)/12*$F350)
))</f>
        <v/>
      </c>
      <c r="F350" s="107">
        <f t="shared" si="54"/>
        <v>0.06</v>
      </c>
      <c r="G350" s="795">
        <f t="shared" si="50"/>
        <v>0</v>
      </c>
      <c r="H350" s="795">
        <f t="shared" si="55"/>
        <v>0</v>
      </c>
      <c r="I350" s="795">
        <f t="shared" si="56"/>
        <v>0</v>
      </c>
      <c r="J350" s="795">
        <f t="shared" si="57"/>
        <v>0</v>
      </c>
      <c r="K350" s="108">
        <f t="shared" si="51"/>
        <v>2041</v>
      </c>
      <c r="L350" s="92" t="str">
        <f t="shared" si="52"/>
        <v/>
      </c>
    </row>
    <row r="351" spans="1:12" ht="12.75" customHeight="1">
      <c r="A351" s="90" t="str">
        <f>IF(B351&lt;&gt;"",MAX(A$28:A350)+1,IF(ISNA(HLOOKUP(DATE(YEAR($C$21),MONTH(C351),DAY(C351)),$C$21:$N$21,1,0)),"",MAX(A$28:A350)+1))</f>
        <v/>
      </c>
      <c r="B351" s="91" t="str">
        <f>IF(C351&lt;$K$16,"",IF(ISNA(HLOOKUP(DATE(YEAR($C$20),MONTH($C351),DAY($C351)),$C$20:$N$20,1,0)),"",MAX(B$28:B350)+1))</f>
        <v/>
      </c>
      <c r="C351" s="106">
        <f t="shared" si="58"/>
        <v>51835</v>
      </c>
      <c r="D351" s="795">
        <f t="shared" si="53"/>
        <v>0</v>
      </c>
      <c r="E351" s="795" t="str">
        <f>IF($A351="","",IF($A351=1,D$29*$F351*($C351-$C$28)/$K$17,
(D351*ROUND(($C351-VLOOKUP($A351-1,$A$28:$C351,3,0))/30,0)/12*$F351)
))</f>
        <v/>
      </c>
      <c r="F351" s="107">
        <f t="shared" si="54"/>
        <v>0.06</v>
      </c>
      <c r="G351" s="795">
        <f t="shared" si="50"/>
        <v>0</v>
      </c>
      <c r="H351" s="795">
        <f t="shared" si="55"/>
        <v>0</v>
      </c>
      <c r="I351" s="795">
        <f t="shared" si="56"/>
        <v>0</v>
      </c>
      <c r="J351" s="795">
        <f t="shared" si="57"/>
        <v>0</v>
      </c>
      <c r="K351" s="108">
        <f t="shared" si="51"/>
        <v>2041</v>
      </c>
      <c r="L351" s="92" t="str">
        <f t="shared" si="52"/>
        <v/>
      </c>
    </row>
    <row r="352" spans="1:12" ht="12.75" customHeight="1">
      <c r="A352" s="90">
        <f>IF(B352&lt;&gt;"",MAX(A$28:A351)+1,IF(ISNA(HLOOKUP(DATE(YEAR($C$21),MONTH(C352),DAY(C352)),$C$21:$N$21,1,0)),"",MAX(A$28:A351)+1))</f>
        <v>108</v>
      </c>
      <c r="B352" s="91">
        <f>IF(C352&lt;$K$16,"",IF(ISNA(HLOOKUP(DATE(YEAR($C$20),MONTH($C352),DAY($C352)),$C$20:$N$20,1,0)),"",MAX(B$28:B351)+1))</f>
        <v>96</v>
      </c>
      <c r="C352" s="106">
        <f t="shared" si="58"/>
        <v>51866</v>
      </c>
      <c r="D352" s="795">
        <f t="shared" si="53"/>
        <v>0</v>
      </c>
      <c r="E352" s="795">
        <f>IF($A352="","",IF($A352=1,D$29*$F352*($C352-$C$28)/$K$17,
(D352*ROUND(($C352-VLOOKUP($A352-1,$A$28:$C352,3,0))/30,0)/12*$F352)
))</f>
        <v>0</v>
      </c>
      <c r="F352" s="107">
        <f t="shared" si="54"/>
        <v>0.06</v>
      </c>
      <c r="G352" s="795">
        <f t="shared" si="50"/>
        <v>0</v>
      </c>
      <c r="H352" s="795">
        <f t="shared" si="55"/>
        <v>0</v>
      </c>
      <c r="I352" s="795">
        <f t="shared" si="56"/>
        <v>0</v>
      </c>
      <c r="J352" s="795">
        <f t="shared" si="57"/>
        <v>0</v>
      </c>
      <c r="K352" s="108">
        <f t="shared" si="51"/>
        <v>2041</v>
      </c>
      <c r="L352" s="92" t="str">
        <f t="shared" si="52"/>
        <v/>
      </c>
    </row>
    <row r="353" spans="1:12" ht="12.75" customHeight="1">
      <c r="A353" s="90" t="str">
        <f>IF(B353&lt;&gt;"",MAX(A$28:A352)+1,IF(ISNA(HLOOKUP(DATE(YEAR($C$21),MONTH(C353),DAY(C353)),$C$21:$N$21,1,0)),"",MAX(A$28:A352)+1))</f>
        <v/>
      </c>
      <c r="B353" s="91" t="str">
        <f>IF(C353&lt;$K$16,"",IF(ISNA(HLOOKUP(DATE(YEAR($C$20),MONTH($C353),DAY($C353)),$C$20:$N$20,1,0)),"",MAX(B$28:B352)+1))</f>
        <v/>
      </c>
      <c r="C353" s="106">
        <f t="shared" si="58"/>
        <v>51897</v>
      </c>
      <c r="D353" s="795">
        <f t="shared" si="53"/>
        <v>0</v>
      </c>
      <c r="E353" s="795" t="str">
        <f>IF($A353="","",IF($A353=1,D$29*$F353*($C353-$C$28)/$K$17,
(D353*ROUND(($C353-VLOOKUP($A353-1,$A$28:$C353,3,0))/30,0)/12*$F353)
))</f>
        <v/>
      </c>
      <c r="F353" s="107">
        <f t="shared" si="54"/>
        <v>0.06</v>
      </c>
      <c r="G353" s="795">
        <f t="shared" si="50"/>
        <v>0</v>
      </c>
      <c r="H353" s="795">
        <f t="shared" si="55"/>
        <v>0</v>
      </c>
      <c r="I353" s="795">
        <f t="shared" si="56"/>
        <v>0</v>
      </c>
      <c r="J353" s="795">
        <f t="shared" si="57"/>
        <v>0</v>
      </c>
      <c r="K353" s="108">
        <f t="shared" si="51"/>
        <v>2042</v>
      </c>
      <c r="L353" s="92" t="str">
        <f t="shared" si="52"/>
        <v/>
      </c>
    </row>
    <row r="354" spans="1:12" ht="12.75" customHeight="1">
      <c r="A354" s="90" t="str">
        <f>IF(B354&lt;&gt;"",MAX(A$28:A353)+1,IF(ISNA(HLOOKUP(DATE(YEAR($C$21),MONTH(C354),DAY(C354)),$C$21:$N$21,1,0)),"",MAX(A$28:A353)+1))</f>
        <v/>
      </c>
      <c r="B354" s="91" t="str">
        <f>IF(C354&lt;$K$16,"",IF(ISNA(HLOOKUP(DATE(YEAR($C$20),MONTH($C354),DAY($C354)),$C$20:$N$20,1,0)),"",MAX(B$28:B353)+1))</f>
        <v/>
      </c>
      <c r="C354" s="106">
        <f t="shared" si="58"/>
        <v>51925</v>
      </c>
      <c r="D354" s="795">
        <f t="shared" si="53"/>
        <v>0</v>
      </c>
      <c r="E354" s="795" t="str">
        <f>IF($A354="","",IF($A354=1,D$29*$F354*($C354-$C$28)/$K$17,
(D354*ROUND(($C354-VLOOKUP($A354-1,$A$28:$C354,3,0))/30,0)/12*$F354)
))</f>
        <v/>
      </c>
      <c r="F354" s="107">
        <f t="shared" si="54"/>
        <v>0.06</v>
      </c>
      <c r="G354" s="795">
        <f t="shared" si="50"/>
        <v>0</v>
      </c>
      <c r="H354" s="795">
        <f t="shared" si="55"/>
        <v>0</v>
      </c>
      <c r="I354" s="795">
        <f t="shared" si="56"/>
        <v>0</v>
      </c>
      <c r="J354" s="795">
        <f t="shared" si="57"/>
        <v>0</v>
      </c>
      <c r="K354" s="108">
        <f t="shared" si="51"/>
        <v>2042</v>
      </c>
      <c r="L354" s="92" t="str">
        <f t="shared" si="52"/>
        <v/>
      </c>
    </row>
    <row r="355" spans="1:12" ht="12.75" customHeight="1">
      <c r="A355" s="90">
        <f>IF(B355&lt;&gt;"",MAX(A$28:A354)+1,IF(ISNA(HLOOKUP(DATE(YEAR($C$21),MONTH(C355),DAY(C355)),$C$21:$N$21,1,0)),"",MAX(A$28:A354)+1))</f>
        <v>109</v>
      </c>
      <c r="B355" s="91">
        <f>IF(C355&lt;$K$16,"",IF(ISNA(HLOOKUP(DATE(YEAR($C$20),MONTH($C355),DAY($C355)),$C$20:$N$20,1,0)),"",MAX(B$28:B354)+1))</f>
        <v>97</v>
      </c>
      <c r="C355" s="106">
        <f t="shared" si="58"/>
        <v>51956</v>
      </c>
      <c r="D355" s="795">
        <f t="shared" si="53"/>
        <v>0</v>
      </c>
      <c r="E355" s="795">
        <f>IF($A355="","",IF($A355=1,D$29*$F355*($C355-$C$28)/$K$17,
(D355*ROUND(($C355-VLOOKUP($A355-1,$A$28:$C355,3,0))/30,0)/12*$F355)
))</f>
        <v>0</v>
      </c>
      <c r="F355" s="107">
        <f t="shared" si="54"/>
        <v>0.06</v>
      </c>
      <c r="G355" s="795">
        <f t="shared" si="50"/>
        <v>0</v>
      </c>
      <c r="H355" s="795">
        <f t="shared" si="55"/>
        <v>0</v>
      </c>
      <c r="I355" s="795">
        <f t="shared" si="56"/>
        <v>0</v>
      </c>
      <c r="J355" s="795">
        <f t="shared" si="57"/>
        <v>0</v>
      </c>
      <c r="K355" s="108">
        <f t="shared" si="51"/>
        <v>2042</v>
      </c>
      <c r="L355" s="92" t="str">
        <f t="shared" si="52"/>
        <v/>
      </c>
    </row>
    <row r="356" spans="1:12" ht="12.75" customHeight="1">
      <c r="A356" s="90" t="str">
        <f>IF(B356&lt;&gt;"",MAX(A$28:A355)+1,IF(ISNA(HLOOKUP(DATE(YEAR($C$21),MONTH(C356),DAY(C356)),$C$21:$N$21,1,0)),"",MAX(A$28:A355)+1))</f>
        <v/>
      </c>
      <c r="B356" s="91" t="str">
        <f>IF(C356&lt;$K$16,"",IF(ISNA(HLOOKUP(DATE(YEAR($C$20),MONTH($C356),DAY($C356)),$C$20:$N$20,1,0)),"",MAX(B$28:B355)+1))</f>
        <v/>
      </c>
      <c r="C356" s="106">
        <f t="shared" si="58"/>
        <v>51986</v>
      </c>
      <c r="D356" s="795">
        <f t="shared" si="53"/>
        <v>0</v>
      </c>
      <c r="E356" s="795" t="str">
        <f>IF($A356="","",IF($A356=1,D$29*$F356*($C356-$C$28)/$K$17,
(D356*ROUND(($C356-VLOOKUP($A356-1,$A$28:$C356,3,0))/30,0)/12*$F356)
))</f>
        <v/>
      </c>
      <c r="F356" s="107">
        <f t="shared" si="54"/>
        <v>0.06</v>
      </c>
      <c r="G356" s="795">
        <f t="shared" si="50"/>
        <v>0</v>
      </c>
      <c r="H356" s="795">
        <f t="shared" si="55"/>
        <v>0</v>
      </c>
      <c r="I356" s="795">
        <f t="shared" si="56"/>
        <v>0</v>
      </c>
      <c r="J356" s="795">
        <f t="shared" si="57"/>
        <v>0</v>
      </c>
      <c r="K356" s="108">
        <f t="shared" si="51"/>
        <v>2042</v>
      </c>
      <c r="L356" s="92" t="str">
        <f t="shared" si="52"/>
        <v/>
      </c>
    </row>
    <row r="357" spans="1:12" ht="12.75" customHeight="1">
      <c r="A357" s="90" t="str">
        <f>IF(B357&lt;&gt;"",MAX(A$28:A356)+1,IF(ISNA(HLOOKUP(DATE(YEAR($C$21),MONTH(C357),DAY(C357)),$C$21:$N$21,1,0)),"",MAX(A$28:A356)+1))</f>
        <v/>
      </c>
      <c r="B357" s="91" t="str">
        <f>IF(C357&lt;$K$16,"",IF(ISNA(HLOOKUP(DATE(YEAR($C$20),MONTH($C357),DAY($C357)),$C$20:$N$20,1,0)),"",MAX(B$28:B356)+1))</f>
        <v/>
      </c>
      <c r="C357" s="106">
        <f t="shared" si="58"/>
        <v>52017</v>
      </c>
      <c r="D357" s="795">
        <f t="shared" si="53"/>
        <v>0</v>
      </c>
      <c r="E357" s="795" t="str">
        <f>IF($A357="","",IF($A357=1,D$29*$F357*($C357-$C$28)/$K$17,
(D357*ROUND(($C357-VLOOKUP($A357-1,$A$28:$C357,3,0))/30,0)/12*$F357)
))</f>
        <v/>
      </c>
      <c r="F357" s="107">
        <f t="shared" si="54"/>
        <v>0.06</v>
      </c>
      <c r="G357" s="795">
        <f t="shared" si="50"/>
        <v>0</v>
      </c>
      <c r="H357" s="795">
        <f t="shared" si="55"/>
        <v>0</v>
      </c>
      <c r="I357" s="795">
        <f t="shared" si="56"/>
        <v>0</v>
      </c>
      <c r="J357" s="795">
        <f t="shared" si="57"/>
        <v>0</v>
      </c>
      <c r="K357" s="108">
        <f t="shared" si="51"/>
        <v>2042</v>
      </c>
      <c r="L357" s="92" t="str">
        <f t="shared" si="52"/>
        <v/>
      </c>
    </row>
    <row r="358" spans="1:12" ht="12.75" customHeight="1">
      <c r="A358" s="90">
        <f>IF(B358&lt;&gt;"",MAX(A$28:A357)+1,IF(ISNA(HLOOKUP(DATE(YEAR($C$21),MONTH(C358),DAY(C358)),$C$21:$N$21,1,0)),"",MAX(A$28:A357)+1))</f>
        <v>110</v>
      </c>
      <c r="B358" s="91">
        <f>IF(C358&lt;$K$16,"",IF(ISNA(HLOOKUP(DATE(YEAR($C$20),MONTH($C358),DAY($C358)),$C$20:$N$20,1,0)),"",MAX(B$28:B357)+1))</f>
        <v>98</v>
      </c>
      <c r="C358" s="106">
        <f t="shared" si="58"/>
        <v>52047</v>
      </c>
      <c r="D358" s="795">
        <f t="shared" si="53"/>
        <v>0</v>
      </c>
      <c r="E358" s="795">
        <f>IF($A358="","",IF($A358=1,D$29*$F358*($C358-$C$28)/$K$17,
(D358*ROUND(($C358-VLOOKUP($A358-1,$A$28:$C358,3,0))/30,0)/12*$F358)
))</f>
        <v>0</v>
      </c>
      <c r="F358" s="107">
        <f t="shared" si="54"/>
        <v>0.06</v>
      </c>
      <c r="G358" s="795">
        <f t="shared" si="50"/>
        <v>0</v>
      </c>
      <c r="H358" s="795">
        <f t="shared" si="55"/>
        <v>0</v>
      </c>
      <c r="I358" s="795">
        <f t="shared" si="56"/>
        <v>0</v>
      </c>
      <c r="J358" s="795">
        <f t="shared" si="57"/>
        <v>0</v>
      </c>
      <c r="K358" s="108">
        <f t="shared" si="51"/>
        <v>2042</v>
      </c>
      <c r="L358" s="92" t="str">
        <f t="shared" si="52"/>
        <v/>
      </c>
    </row>
    <row r="359" spans="1:12" ht="12.75" customHeight="1">
      <c r="A359" s="90" t="str">
        <f>IF(B359&lt;&gt;"",MAX(A$28:A358)+1,IF(ISNA(HLOOKUP(DATE(YEAR($C$21),MONTH(C359),DAY(C359)),$C$21:$N$21,1,0)),"",MAX(A$28:A358)+1))</f>
        <v/>
      </c>
      <c r="B359" s="91" t="str">
        <f>IF(C359&lt;$K$16,"",IF(ISNA(HLOOKUP(DATE(YEAR($C$20),MONTH($C359),DAY($C359)),$C$20:$N$20,1,0)),"",MAX(B$28:B358)+1))</f>
        <v/>
      </c>
      <c r="C359" s="106">
        <f t="shared" si="58"/>
        <v>52078</v>
      </c>
      <c r="D359" s="795">
        <f t="shared" si="53"/>
        <v>0</v>
      </c>
      <c r="E359" s="795" t="str">
        <f>IF($A359="","",IF($A359=1,D$29*$F359*($C359-$C$28)/$K$17,
(D359*ROUND(($C359-VLOOKUP($A359-1,$A$28:$C359,3,0))/30,0)/12*$F359)
))</f>
        <v/>
      </c>
      <c r="F359" s="107">
        <f t="shared" si="54"/>
        <v>0.06</v>
      </c>
      <c r="G359" s="795">
        <f t="shared" si="50"/>
        <v>0</v>
      </c>
      <c r="H359" s="795">
        <f t="shared" si="55"/>
        <v>0</v>
      </c>
      <c r="I359" s="795">
        <f t="shared" si="56"/>
        <v>0</v>
      </c>
      <c r="J359" s="795">
        <f t="shared" si="57"/>
        <v>0</v>
      </c>
      <c r="K359" s="108">
        <f t="shared" si="51"/>
        <v>2042</v>
      </c>
      <c r="L359" s="92" t="str">
        <f t="shared" si="52"/>
        <v/>
      </c>
    </row>
    <row r="360" spans="1:12" ht="12.75" customHeight="1">
      <c r="A360" s="90" t="str">
        <f>IF(B360&lt;&gt;"",MAX(A$28:A359)+1,IF(ISNA(HLOOKUP(DATE(YEAR($C$21),MONTH(C360),DAY(C360)),$C$21:$N$21,1,0)),"",MAX(A$28:A359)+1))</f>
        <v/>
      </c>
      <c r="B360" s="91" t="str">
        <f>IF(C360&lt;$K$16,"",IF(ISNA(HLOOKUP(DATE(YEAR($C$20),MONTH($C360),DAY($C360)),$C$20:$N$20,1,0)),"",MAX(B$28:B359)+1))</f>
        <v/>
      </c>
      <c r="C360" s="106">
        <f t="shared" si="58"/>
        <v>52109</v>
      </c>
      <c r="D360" s="795">
        <f t="shared" si="53"/>
        <v>0</v>
      </c>
      <c r="E360" s="795" t="str">
        <f>IF($A360="","",IF($A360=1,D$29*$F360*($C360-$C$28)/$K$17,
(D360*ROUND(($C360-VLOOKUP($A360-1,$A$28:$C360,3,0))/30,0)/12*$F360)
))</f>
        <v/>
      </c>
      <c r="F360" s="107">
        <f t="shared" si="54"/>
        <v>0.06</v>
      </c>
      <c r="G360" s="795">
        <f t="shared" si="50"/>
        <v>0</v>
      </c>
      <c r="H360" s="795">
        <f t="shared" si="55"/>
        <v>0</v>
      </c>
      <c r="I360" s="795">
        <f t="shared" si="56"/>
        <v>0</v>
      </c>
      <c r="J360" s="795">
        <f t="shared" si="57"/>
        <v>0</v>
      </c>
      <c r="K360" s="108">
        <f t="shared" si="51"/>
        <v>2042</v>
      </c>
      <c r="L360" s="92" t="str">
        <f t="shared" si="52"/>
        <v/>
      </c>
    </row>
    <row r="361" spans="1:12" ht="12.75" customHeight="1">
      <c r="A361" s="90">
        <f>IF(B361&lt;&gt;"",MAX(A$28:A360)+1,IF(ISNA(HLOOKUP(DATE(YEAR($C$21),MONTH(C361),DAY(C361)),$C$21:$N$21,1,0)),"",MAX(A$28:A360)+1))</f>
        <v>111</v>
      </c>
      <c r="B361" s="91">
        <f>IF(C361&lt;$K$16,"",IF(ISNA(HLOOKUP(DATE(YEAR($C$20),MONTH($C361),DAY($C361)),$C$20:$N$20,1,0)),"",MAX(B$28:B360)+1))</f>
        <v>99</v>
      </c>
      <c r="C361" s="106">
        <f t="shared" si="58"/>
        <v>52139</v>
      </c>
      <c r="D361" s="795">
        <f t="shared" si="53"/>
        <v>0</v>
      </c>
      <c r="E361" s="795">
        <f>IF($A361="","",IF($A361=1,D$29*$F361*($C361-$C$28)/$K$17,
(D361*ROUND(($C361-VLOOKUP($A361-1,$A$28:$C361,3,0))/30,0)/12*$F361)
))</f>
        <v>0</v>
      </c>
      <c r="F361" s="107">
        <f t="shared" si="54"/>
        <v>0.06</v>
      </c>
      <c r="G361" s="795">
        <f t="shared" si="50"/>
        <v>0</v>
      </c>
      <c r="H361" s="795">
        <f t="shared" si="55"/>
        <v>0</v>
      </c>
      <c r="I361" s="795">
        <f t="shared" si="56"/>
        <v>0</v>
      </c>
      <c r="J361" s="795">
        <f t="shared" si="57"/>
        <v>0</v>
      </c>
      <c r="K361" s="108">
        <f t="shared" si="51"/>
        <v>2042</v>
      </c>
      <c r="L361" s="92" t="str">
        <f t="shared" si="52"/>
        <v/>
      </c>
    </row>
    <row r="362" spans="1:12" ht="12.75" customHeight="1">
      <c r="A362" s="90" t="str">
        <f>IF(B362&lt;&gt;"",MAX(A$28:A361)+1,IF(ISNA(HLOOKUP(DATE(YEAR($C$21),MONTH(C362),DAY(C362)),$C$21:$N$21,1,0)),"",MAX(A$28:A361)+1))</f>
        <v/>
      </c>
      <c r="B362" s="91" t="str">
        <f>IF(C362&lt;$K$16,"",IF(ISNA(HLOOKUP(DATE(YEAR($C$20),MONTH($C362),DAY($C362)),$C$20:$N$20,1,0)),"",MAX(B$28:B361)+1))</f>
        <v/>
      </c>
      <c r="C362" s="106">
        <f t="shared" si="58"/>
        <v>52170</v>
      </c>
      <c r="D362" s="795">
        <f t="shared" si="53"/>
        <v>0</v>
      </c>
      <c r="E362" s="795" t="str">
        <f>IF($A362="","",IF($A362=1,D$29*$F362*($C362-$C$28)/$K$17,
(D362*ROUND(($C362-VLOOKUP($A362-1,$A$28:$C362,3,0))/30,0)/12*$F362)
))</f>
        <v/>
      </c>
      <c r="F362" s="107">
        <f t="shared" si="54"/>
        <v>0.06</v>
      </c>
      <c r="G362" s="795">
        <f t="shared" si="50"/>
        <v>0</v>
      </c>
      <c r="H362" s="795">
        <f t="shared" si="55"/>
        <v>0</v>
      </c>
      <c r="I362" s="795">
        <f t="shared" si="56"/>
        <v>0</v>
      </c>
      <c r="J362" s="795">
        <f t="shared" si="57"/>
        <v>0</v>
      </c>
      <c r="K362" s="108">
        <f t="shared" si="51"/>
        <v>2042</v>
      </c>
      <c r="L362" s="92" t="str">
        <f t="shared" si="52"/>
        <v/>
      </c>
    </row>
    <row r="363" spans="1:12" ht="12.75" customHeight="1">
      <c r="A363" s="90" t="str">
        <f>IF(B363&lt;&gt;"",MAX(A$28:A362)+1,IF(ISNA(HLOOKUP(DATE(YEAR($C$21),MONTH(C363),DAY(C363)),$C$21:$N$21,1,0)),"",MAX(A$28:A362)+1))</f>
        <v/>
      </c>
      <c r="B363" s="91" t="str">
        <f>IF(C363&lt;$K$16,"",IF(ISNA(HLOOKUP(DATE(YEAR($C$20),MONTH($C363),DAY($C363)),$C$20:$N$20,1,0)),"",MAX(B$28:B362)+1))</f>
        <v/>
      </c>
      <c r="C363" s="106">
        <f t="shared" si="58"/>
        <v>52200</v>
      </c>
      <c r="D363" s="795">
        <f t="shared" si="53"/>
        <v>0</v>
      </c>
      <c r="E363" s="795" t="str">
        <f>IF($A363="","",IF($A363=1,D$29*$F363*($C363-$C$28)/$K$17,
(D363*ROUND(($C363-VLOOKUP($A363-1,$A$28:$C363,3,0))/30,0)/12*$F363)
))</f>
        <v/>
      </c>
      <c r="F363" s="107">
        <f t="shared" si="54"/>
        <v>0.06</v>
      </c>
      <c r="G363" s="795">
        <f t="shared" si="50"/>
        <v>0</v>
      </c>
      <c r="H363" s="795">
        <f t="shared" si="55"/>
        <v>0</v>
      </c>
      <c r="I363" s="795">
        <f t="shared" si="56"/>
        <v>0</v>
      </c>
      <c r="J363" s="795">
        <f t="shared" si="57"/>
        <v>0</v>
      </c>
      <c r="K363" s="108">
        <f t="shared" si="51"/>
        <v>2042</v>
      </c>
      <c r="L363" s="92" t="str">
        <f t="shared" si="52"/>
        <v/>
      </c>
    </row>
    <row r="364" spans="1:12" ht="12.75" customHeight="1">
      <c r="A364" s="90">
        <f>IF(B364&lt;&gt;"",MAX(A$28:A363)+1,IF(ISNA(HLOOKUP(DATE(YEAR($C$21),MONTH(C364),DAY(C364)),$C$21:$N$21,1,0)),"",MAX(A$28:A363)+1))</f>
        <v>112</v>
      </c>
      <c r="B364" s="91">
        <f>IF(C364&lt;$K$16,"",IF(ISNA(HLOOKUP(DATE(YEAR($C$20),MONTH($C364),DAY($C364)),$C$20:$N$20,1,0)),"",MAX(B$28:B363)+1))</f>
        <v>100</v>
      </c>
      <c r="C364" s="106">
        <f t="shared" si="58"/>
        <v>52231</v>
      </c>
      <c r="D364" s="795">
        <f t="shared" si="53"/>
        <v>0</v>
      </c>
      <c r="E364" s="795">
        <f>IF($A364="","",IF($A364=1,D$29*$F364*($C364-$C$28)/$K$17,
(D364*ROUND(($C364-VLOOKUP($A364-1,$A$28:$C364,3,0))/30,0)/12*$F364)
))</f>
        <v>0</v>
      </c>
      <c r="F364" s="107">
        <f t="shared" si="54"/>
        <v>0.06</v>
      </c>
      <c r="G364" s="795">
        <f t="shared" si="50"/>
        <v>0</v>
      </c>
      <c r="H364" s="795">
        <f t="shared" si="55"/>
        <v>0</v>
      </c>
      <c r="I364" s="795">
        <f t="shared" si="56"/>
        <v>0</v>
      </c>
      <c r="J364" s="795">
        <f t="shared" si="57"/>
        <v>0</v>
      </c>
      <c r="K364" s="108">
        <f t="shared" si="51"/>
        <v>2042</v>
      </c>
      <c r="L364" s="92" t="str">
        <f t="shared" si="52"/>
        <v/>
      </c>
    </row>
    <row r="365" spans="1:12" ht="12.75" customHeight="1">
      <c r="A365" s="90" t="str">
        <f>IF(B365&lt;&gt;"",MAX(A$28:A364)+1,IF(ISNA(HLOOKUP(DATE(YEAR($C$21),MONTH(C365),DAY(C365)),$C$21:$N$21,1,0)),"",MAX(A$28:A364)+1))</f>
        <v/>
      </c>
      <c r="B365" s="91" t="str">
        <f>IF(C365&lt;$K$16,"",IF(ISNA(HLOOKUP(DATE(YEAR($C$20),MONTH($C365),DAY($C365)),$C$20:$N$20,1,0)),"",MAX(B$28:B364)+1))</f>
        <v/>
      </c>
      <c r="C365" s="106">
        <f t="shared" si="58"/>
        <v>52262</v>
      </c>
      <c r="D365" s="795">
        <f t="shared" si="53"/>
        <v>0</v>
      </c>
      <c r="E365" s="795" t="str">
        <f>IF($A365="","",IF($A365=1,D$29*$F365*($C365-$C$28)/$K$17,
(D365*ROUND(($C365-VLOOKUP($A365-1,$A$28:$C365,3,0))/30,0)/12*$F365)
))</f>
        <v/>
      </c>
      <c r="F365" s="107">
        <f t="shared" si="54"/>
        <v>0.06</v>
      </c>
      <c r="G365" s="795">
        <f t="shared" si="50"/>
        <v>0</v>
      </c>
      <c r="H365" s="795">
        <f t="shared" si="55"/>
        <v>0</v>
      </c>
      <c r="I365" s="795">
        <f t="shared" si="56"/>
        <v>0</v>
      </c>
      <c r="J365" s="795">
        <f t="shared" si="57"/>
        <v>0</v>
      </c>
      <c r="K365" s="108">
        <f t="shared" si="51"/>
        <v>2043</v>
      </c>
      <c r="L365" s="92" t="str">
        <f t="shared" si="52"/>
        <v/>
      </c>
    </row>
    <row r="366" spans="1:12" ht="12.75" customHeight="1">
      <c r="A366" s="90" t="str">
        <f>IF(B366&lt;&gt;"",MAX(A$28:A365)+1,IF(ISNA(HLOOKUP(DATE(YEAR($C$21),MONTH(C366),DAY(C366)),$C$21:$N$21,1,0)),"",MAX(A$28:A365)+1))</f>
        <v/>
      </c>
      <c r="B366" s="91" t="str">
        <f>IF(C366&lt;$K$16,"",IF(ISNA(HLOOKUP(DATE(YEAR($C$20),MONTH($C366),DAY($C366)),$C$20:$N$20,1,0)),"",MAX(B$28:B365)+1))</f>
        <v/>
      </c>
      <c r="C366" s="106">
        <f t="shared" si="58"/>
        <v>52290</v>
      </c>
      <c r="D366" s="795">
        <f t="shared" si="53"/>
        <v>0</v>
      </c>
      <c r="E366" s="795" t="str">
        <f>IF($A366="","",IF($A366=1,D$29*$F366*($C366-$C$28)/$K$17,
(D366*ROUND(($C366-VLOOKUP($A366-1,$A$28:$C366,3,0))/30,0)/12*$F366)
))</f>
        <v/>
      </c>
      <c r="F366" s="107">
        <f t="shared" si="54"/>
        <v>0.06</v>
      </c>
      <c r="G366" s="795">
        <f t="shared" si="50"/>
        <v>0</v>
      </c>
      <c r="H366" s="795">
        <f t="shared" si="55"/>
        <v>0</v>
      </c>
      <c r="I366" s="795">
        <f t="shared" si="56"/>
        <v>0</v>
      </c>
      <c r="J366" s="795">
        <f t="shared" si="57"/>
        <v>0</v>
      </c>
      <c r="K366" s="108">
        <f t="shared" si="51"/>
        <v>2043</v>
      </c>
      <c r="L366" s="92" t="str">
        <f t="shared" si="52"/>
        <v/>
      </c>
    </row>
    <row r="367" spans="1:12" ht="12.75" customHeight="1">
      <c r="A367" s="90">
        <f>IF(B367&lt;&gt;"",MAX(A$28:A366)+1,IF(ISNA(HLOOKUP(DATE(YEAR($C$21),MONTH(C367),DAY(C367)),$C$21:$N$21,1,0)),"",MAX(A$28:A366)+1))</f>
        <v>113</v>
      </c>
      <c r="B367" s="91">
        <f>IF(C367&lt;$K$16,"",IF(ISNA(HLOOKUP(DATE(YEAR($C$20),MONTH($C367),DAY($C367)),$C$20:$N$20,1,0)),"",MAX(B$28:B366)+1))</f>
        <v>101</v>
      </c>
      <c r="C367" s="106">
        <f t="shared" si="58"/>
        <v>52321</v>
      </c>
      <c r="D367" s="795">
        <f t="shared" si="53"/>
        <v>0</v>
      </c>
      <c r="E367" s="795">
        <f>IF($A367="","",IF($A367=1,D$29*$F367*($C367-$C$28)/$K$17,
(D367*ROUND(($C367-VLOOKUP($A367-1,$A$28:$C367,3,0))/30,0)/12*$F367)
))</f>
        <v>0</v>
      </c>
      <c r="F367" s="107">
        <f t="shared" si="54"/>
        <v>0.06</v>
      </c>
      <c r="G367" s="795">
        <f t="shared" si="50"/>
        <v>0</v>
      </c>
      <c r="H367" s="795">
        <f t="shared" si="55"/>
        <v>0</v>
      </c>
      <c r="I367" s="795">
        <f t="shared" si="56"/>
        <v>0</v>
      </c>
      <c r="J367" s="795">
        <f t="shared" si="57"/>
        <v>0</v>
      </c>
      <c r="K367" s="108">
        <f t="shared" si="51"/>
        <v>2043</v>
      </c>
      <c r="L367" s="92" t="str">
        <f t="shared" si="52"/>
        <v/>
      </c>
    </row>
    <row r="368" spans="1:12" ht="12.75" customHeight="1">
      <c r="A368" s="90" t="str">
        <f>IF(B368&lt;&gt;"",MAX(A$28:A367)+1,IF(ISNA(HLOOKUP(DATE(YEAR($C$21),MONTH(C368),DAY(C368)),$C$21:$N$21,1,0)),"",MAX(A$28:A367)+1))</f>
        <v/>
      </c>
      <c r="B368" s="91" t="str">
        <f>IF(C368&lt;$K$16,"",IF(ISNA(HLOOKUP(DATE(YEAR($C$20),MONTH($C368),DAY($C368)),$C$20:$N$20,1,0)),"",MAX(B$28:B367)+1))</f>
        <v/>
      </c>
      <c r="C368" s="106">
        <f t="shared" si="58"/>
        <v>52351</v>
      </c>
      <c r="D368" s="795">
        <f t="shared" si="53"/>
        <v>0</v>
      </c>
      <c r="E368" s="795" t="str">
        <f>IF($A368="","",IF($A368=1,D$29*$F368*($C368-$C$28)/$K$17,
(D368*ROUND(($C368-VLOOKUP($A368-1,$A$28:$C368,3,0))/30,0)/12*$F368)
))</f>
        <v/>
      </c>
      <c r="F368" s="107">
        <f t="shared" si="54"/>
        <v>0.06</v>
      </c>
      <c r="G368" s="795">
        <f t="shared" si="50"/>
        <v>0</v>
      </c>
      <c r="H368" s="795">
        <f t="shared" si="55"/>
        <v>0</v>
      </c>
      <c r="I368" s="795">
        <f t="shared" si="56"/>
        <v>0</v>
      </c>
      <c r="J368" s="795">
        <f t="shared" si="57"/>
        <v>0</v>
      </c>
      <c r="K368" s="108">
        <f t="shared" si="51"/>
        <v>2043</v>
      </c>
      <c r="L368" s="92" t="str">
        <f t="shared" si="52"/>
        <v/>
      </c>
    </row>
    <row r="369" spans="1:12" ht="12.75" customHeight="1">
      <c r="A369" s="90" t="str">
        <f>IF(B369&lt;&gt;"",MAX(A$28:A368)+1,IF(ISNA(HLOOKUP(DATE(YEAR($C$21),MONTH(C369),DAY(C369)),$C$21:$N$21,1,0)),"",MAX(A$28:A368)+1))</f>
        <v/>
      </c>
      <c r="B369" s="91" t="str">
        <f>IF(C369&lt;$K$16,"",IF(ISNA(HLOOKUP(DATE(YEAR($C$20),MONTH($C369),DAY($C369)),$C$20:$N$20,1,0)),"",MAX(B$28:B368)+1))</f>
        <v/>
      </c>
      <c r="C369" s="106">
        <f t="shared" si="58"/>
        <v>52382</v>
      </c>
      <c r="D369" s="795">
        <f t="shared" si="53"/>
        <v>0</v>
      </c>
      <c r="E369" s="795" t="str">
        <f>IF($A369="","",IF($A369=1,D$29*$F369*($C369-$C$28)/$K$17,
(D369*ROUND(($C369-VLOOKUP($A369-1,$A$28:$C369,3,0))/30,0)/12*$F369)
))</f>
        <v/>
      </c>
      <c r="F369" s="107">
        <f t="shared" si="54"/>
        <v>0.06</v>
      </c>
      <c r="G369" s="795">
        <f t="shared" si="50"/>
        <v>0</v>
      </c>
      <c r="H369" s="795">
        <f t="shared" si="55"/>
        <v>0</v>
      </c>
      <c r="I369" s="795">
        <f t="shared" si="56"/>
        <v>0</v>
      </c>
      <c r="J369" s="795">
        <f t="shared" si="57"/>
        <v>0</v>
      </c>
      <c r="K369" s="108">
        <f t="shared" si="51"/>
        <v>2043</v>
      </c>
      <c r="L369" s="92" t="str">
        <f t="shared" si="52"/>
        <v/>
      </c>
    </row>
    <row r="370" spans="1:12" ht="12.75" customHeight="1">
      <c r="A370" s="90">
        <f>IF(B370&lt;&gt;"",MAX(A$28:A369)+1,IF(ISNA(HLOOKUP(DATE(YEAR($C$21),MONTH(C370),DAY(C370)),$C$21:$N$21,1,0)),"",MAX(A$28:A369)+1))</f>
        <v>114</v>
      </c>
      <c r="B370" s="91">
        <f>IF(C370&lt;$K$16,"",IF(ISNA(HLOOKUP(DATE(YEAR($C$20),MONTH($C370),DAY($C370)),$C$20:$N$20,1,0)),"",MAX(B$28:B369)+1))</f>
        <v>102</v>
      </c>
      <c r="C370" s="106">
        <f t="shared" si="58"/>
        <v>52412</v>
      </c>
      <c r="D370" s="795">
        <f t="shared" si="53"/>
        <v>0</v>
      </c>
      <c r="E370" s="795">
        <f>IF($A370="","",IF($A370=1,D$29*$F370*($C370-$C$28)/$K$17,
(D370*ROUND(($C370-VLOOKUP($A370-1,$A$28:$C370,3,0))/30,0)/12*$F370)
))</f>
        <v>0</v>
      </c>
      <c r="F370" s="107">
        <f t="shared" si="54"/>
        <v>0.06</v>
      </c>
      <c r="G370" s="795">
        <f t="shared" si="50"/>
        <v>0</v>
      </c>
      <c r="H370" s="795">
        <f t="shared" si="55"/>
        <v>0</v>
      </c>
      <c r="I370" s="795">
        <f t="shared" si="56"/>
        <v>0</v>
      </c>
      <c r="J370" s="795">
        <f t="shared" si="57"/>
        <v>0</v>
      </c>
      <c r="K370" s="108">
        <f t="shared" si="51"/>
        <v>2043</v>
      </c>
      <c r="L370" s="92" t="str">
        <f t="shared" si="52"/>
        <v/>
      </c>
    </row>
    <row r="371" spans="1:12" ht="12.75" customHeight="1">
      <c r="A371" s="90" t="str">
        <f>IF(B371&lt;&gt;"",MAX(A$28:A370)+1,IF(ISNA(HLOOKUP(DATE(YEAR($C$21),MONTH(C371),DAY(C371)),$C$21:$N$21,1,0)),"",MAX(A$28:A370)+1))</f>
        <v/>
      </c>
      <c r="B371" s="91" t="str">
        <f>IF(C371&lt;$K$16,"",IF(ISNA(HLOOKUP(DATE(YEAR($C$20),MONTH($C371),DAY($C371)),$C$20:$N$20,1,0)),"",MAX(B$28:B370)+1))</f>
        <v/>
      </c>
      <c r="C371" s="106">
        <f t="shared" si="58"/>
        <v>52443</v>
      </c>
      <c r="D371" s="795">
        <f t="shared" si="53"/>
        <v>0</v>
      </c>
      <c r="E371" s="795" t="str">
        <f>IF($A371="","",IF($A371=1,D$29*$F371*($C371-$C$28)/$K$17,
(D371*ROUND(($C371-VLOOKUP($A371-1,$A$28:$C371,3,0))/30,0)/12*$F371)
))</f>
        <v/>
      </c>
      <c r="F371" s="107">
        <f t="shared" si="54"/>
        <v>0.06</v>
      </c>
      <c r="G371" s="795">
        <f t="shared" si="50"/>
        <v>0</v>
      </c>
      <c r="H371" s="795">
        <f t="shared" si="55"/>
        <v>0</v>
      </c>
      <c r="I371" s="795">
        <f t="shared" si="56"/>
        <v>0</v>
      </c>
      <c r="J371" s="795">
        <f t="shared" si="57"/>
        <v>0</v>
      </c>
      <c r="K371" s="108">
        <f t="shared" si="51"/>
        <v>2043</v>
      </c>
      <c r="L371" s="92" t="str">
        <f t="shared" si="52"/>
        <v/>
      </c>
    </row>
    <row r="372" spans="1:12" ht="12.75" customHeight="1">
      <c r="A372" s="90" t="str">
        <f>IF(B372&lt;&gt;"",MAX(A$28:A371)+1,IF(ISNA(HLOOKUP(DATE(YEAR($C$21),MONTH(C372),DAY(C372)),$C$21:$N$21,1,0)),"",MAX(A$28:A371)+1))</f>
        <v/>
      </c>
      <c r="B372" s="91" t="str">
        <f>IF(C372&lt;$K$16,"",IF(ISNA(HLOOKUP(DATE(YEAR($C$20),MONTH($C372),DAY($C372)),$C$20:$N$20,1,0)),"",MAX(B$28:B371)+1))</f>
        <v/>
      </c>
      <c r="C372" s="106">
        <f t="shared" si="58"/>
        <v>52474</v>
      </c>
      <c r="D372" s="795">
        <f t="shared" si="53"/>
        <v>0</v>
      </c>
      <c r="E372" s="795" t="str">
        <f>IF($A372="","",IF($A372=1,D$29*$F372*($C372-$C$28)/$K$17,
(D372*ROUND(($C372-VLOOKUP($A372-1,$A$28:$C372,3,0))/30,0)/12*$F372)
))</f>
        <v/>
      </c>
      <c r="F372" s="107">
        <f t="shared" si="54"/>
        <v>0.06</v>
      </c>
      <c r="G372" s="795">
        <f t="shared" si="50"/>
        <v>0</v>
      </c>
      <c r="H372" s="795">
        <f t="shared" si="55"/>
        <v>0</v>
      </c>
      <c r="I372" s="795">
        <f t="shared" si="56"/>
        <v>0</v>
      </c>
      <c r="J372" s="795">
        <f t="shared" si="57"/>
        <v>0</v>
      </c>
      <c r="K372" s="108">
        <f t="shared" si="51"/>
        <v>2043</v>
      </c>
      <c r="L372" s="92" t="str">
        <f t="shared" si="52"/>
        <v/>
      </c>
    </row>
    <row r="373" spans="1:12" ht="12.75" customHeight="1">
      <c r="A373" s="90">
        <f>IF(B373&lt;&gt;"",MAX(A$28:A372)+1,IF(ISNA(HLOOKUP(DATE(YEAR($C$21),MONTH(C373),DAY(C373)),$C$21:$N$21,1,0)),"",MAX(A$28:A372)+1))</f>
        <v>115</v>
      </c>
      <c r="B373" s="91">
        <f>IF(C373&lt;$K$16,"",IF(ISNA(HLOOKUP(DATE(YEAR($C$20),MONTH($C373),DAY($C373)),$C$20:$N$20,1,0)),"",MAX(B$28:B372)+1))</f>
        <v>103</v>
      </c>
      <c r="C373" s="106">
        <f t="shared" si="58"/>
        <v>52504</v>
      </c>
      <c r="D373" s="795">
        <f t="shared" si="53"/>
        <v>0</v>
      </c>
      <c r="E373" s="795">
        <f>IF($A373="","",IF($A373=1,D$29*$F373*($C373-$C$28)/$K$17,
(D373*ROUND(($C373-VLOOKUP($A373-1,$A$28:$C373,3,0))/30,0)/12*$F373)
))</f>
        <v>0</v>
      </c>
      <c r="F373" s="107">
        <f t="shared" si="54"/>
        <v>0.06</v>
      </c>
      <c r="G373" s="795">
        <f t="shared" si="50"/>
        <v>0</v>
      </c>
      <c r="H373" s="795">
        <f t="shared" si="55"/>
        <v>0</v>
      </c>
      <c r="I373" s="795">
        <f t="shared" si="56"/>
        <v>0</v>
      </c>
      <c r="J373" s="795">
        <f t="shared" si="57"/>
        <v>0</v>
      </c>
      <c r="K373" s="108">
        <f t="shared" si="51"/>
        <v>2043</v>
      </c>
      <c r="L373" s="92" t="str">
        <f t="shared" si="52"/>
        <v/>
      </c>
    </row>
    <row r="374" spans="1:12" ht="12.75" customHeight="1">
      <c r="A374" s="90" t="str">
        <f>IF(B374&lt;&gt;"",MAX(A$28:A373)+1,IF(ISNA(HLOOKUP(DATE(YEAR($C$21),MONTH(C374),DAY(C374)),$C$21:$N$21,1,0)),"",MAX(A$28:A373)+1))</f>
        <v/>
      </c>
      <c r="B374" s="91" t="str">
        <f>IF(C374&lt;$K$16,"",IF(ISNA(HLOOKUP(DATE(YEAR($C$20),MONTH($C374),DAY($C374)),$C$20:$N$20,1,0)),"",MAX(B$28:B373)+1))</f>
        <v/>
      </c>
      <c r="C374" s="106">
        <f t="shared" si="58"/>
        <v>52535</v>
      </c>
      <c r="D374" s="795">
        <f t="shared" si="53"/>
        <v>0</v>
      </c>
      <c r="E374" s="795" t="str">
        <f>IF($A374="","",IF($A374=1,D$29*$F374*($C374-$C$28)/$K$17,
(D374*ROUND(($C374-VLOOKUP($A374-1,$A$28:$C374,3,0))/30,0)/12*$F374)
))</f>
        <v/>
      </c>
      <c r="F374" s="107">
        <f t="shared" si="54"/>
        <v>0.06</v>
      </c>
      <c r="G374" s="795">
        <f t="shared" si="50"/>
        <v>0</v>
      </c>
      <c r="H374" s="795">
        <f t="shared" si="55"/>
        <v>0</v>
      </c>
      <c r="I374" s="795">
        <f t="shared" si="56"/>
        <v>0</v>
      </c>
      <c r="J374" s="795">
        <f t="shared" si="57"/>
        <v>0</v>
      </c>
      <c r="K374" s="108">
        <f t="shared" si="51"/>
        <v>2043</v>
      </c>
      <c r="L374" s="92" t="str">
        <f t="shared" si="52"/>
        <v/>
      </c>
    </row>
    <row r="375" spans="1:12" ht="12.75" customHeight="1">
      <c r="A375" s="90" t="str">
        <f>IF(B375&lt;&gt;"",MAX(A$28:A374)+1,IF(ISNA(HLOOKUP(DATE(YEAR($C$21),MONTH(C375),DAY(C375)),$C$21:$N$21,1,0)),"",MAX(A$28:A374)+1))</f>
        <v/>
      </c>
      <c r="B375" s="91" t="str">
        <f>IF(C375&lt;$K$16,"",IF(ISNA(HLOOKUP(DATE(YEAR($C$20),MONTH($C375),DAY($C375)),$C$20:$N$20,1,0)),"",MAX(B$28:B374)+1))</f>
        <v/>
      </c>
      <c r="C375" s="106">
        <f t="shared" si="58"/>
        <v>52565</v>
      </c>
      <c r="D375" s="795">
        <f t="shared" si="53"/>
        <v>0</v>
      </c>
      <c r="E375" s="795" t="str">
        <f>IF($A375="","",IF($A375=1,D$29*$F375*($C375-$C$28)/$K$17,
(D375*ROUND(($C375-VLOOKUP($A375-1,$A$28:$C375,3,0))/30,0)/12*$F375)
))</f>
        <v/>
      </c>
      <c r="F375" s="107">
        <f t="shared" si="54"/>
        <v>0.06</v>
      </c>
      <c r="G375" s="795">
        <f t="shared" si="50"/>
        <v>0</v>
      </c>
      <c r="H375" s="795">
        <f t="shared" si="55"/>
        <v>0</v>
      </c>
      <c r="I375" s="795">
        <f t="shared" si="56"/>
        <v>0</v>
      </c>
      <c r="J375" s="795">
        <f t="shared" si="57"/>
        <v>0</v>
      </c>
      <c r="K375" s="108">
        <f t="shared" si="51"/>
        <v>2043</v>
      </c>
      <c r="L375" s="92" t="str">
        <f t="shared" si="52"/>
        <v/>
      </c>
    </row>
    <row r="376" spans="1:12" ht="12.75" customHeight="1">
      <c r="A376" s="90">
        <f>IF(B376&lt;&gt;"",MAX(A$28:A375)+1,IF(ISNA(HLOOKUP(DATE(YEAR($C$21),MONTH(C376),DAY(C376)),$C$21:$N$21,1,0)),"",MAX(A$28:A375)+1))</f>
        <v>116</v>
      </c>
      <c r="B376" s="91">
        <f>IF(C376&lt;$K$16,"",IF(ISNA(HLOOKUP(DATE(YEAR($C$20),MONTH($C376),DAY($C376)),$C$20:$N$20,1,0)),"",MAX(B$28:B375)+1))</f>
        <v>104</v>
      </c>
      <c r="C376" s="106">
        <f t="shared" si="58"/>
        <v>52596</v>
      </c>
      <c r="D376" s="795">
        <f t="shared" si="53"/>
        <v>0</v>
      </c>
      <c r="E376" s="795">
        <f>IF($A376="","",IF($A376=1,D$29*$F376*($C376-$C$28)/$K$17,
(D376*ROUND(($C376-VLOOKUP($A376-1,$A$28:$C376,3,0))/30,0)/12*$F376)
))</f>
        <v>0</v>
      </c>
      <c r="F376" s="107">
        <f t="shared" si="54"/>
        <v>0.06</v>
      </c>
      <c r="G376" s="795">
        <f t="shared" si="50"/>
        <v>0</v>
      </c>
      <c r="H376" s="795">
        <f t="shared" si="55"/>
        <v>0</v>
      </c>
      <c r="I376" s="795">
        <f t="shared" si="56"/>
        <v>0</v>
      </c>
      <c r="J376" s="795">
        <f t="shared" si="57"/>
        <v>0</v>
      </c>
      <c r="K376" s="108">
        <f t="shared" si="51"/>
        <v>2043</v>
      </c>
      <c r="L376" s="92" t="str">
        <f t="shared" si="52"/>
        <v/>
      </c>
    </row>
    <row r="377" spans="1:12" ht="12.75" customHeight="1">
      <c r="A377" s="90" t="str">
        <f>IF(B377&lt;&gt;"",MAX(A$28:A376)+1,IF(ISNA(HLOOKUP(DATE(YEAR($C$21),MONTH(C377),DAY(C377)),$C$21:$N$21,1,0)),"",MAX(A$28:A376)+1))</f>
        <v/>
      </c>
      <c r="B377" s="91" t="str">
        <f>IF(C377&lt;$K$16,"",IF(ISNA(HLOOKUP(DATE(YEAR($C$20),MONTH($C377),DAY($C377)),$C$20:$N$20,1,0)),"",MAX(B$28:B376)+1))</f>
        <v/>
      </c>
      <c r="C377" s="106">
        <f t="shared" si="58"/>
        <v>52627</v>
      </c>
      <c r="D377" s="795">
        <f t="shared" si="53"/>
        <v>0</v>
      </c>
      <c r="E377" s="795" t="str">
        <f>IF($A377="","",IF($A377=1,D$29*$F377*($C377-$C$28)/$K$17,
(D377*ROUND(($C377-VLOOKUP($A377-1,$A$28:$C377,3,0))/30,0)/12*$F377)
))</f>
        <v/>
      </c>
      <c r="F377" s="107">
        <f t="shared" si="54"/>
        <v>0.06</v>
      </c>
      <c r="G377" s="795">
        <f t="shared" si="50"/>
        <v>0</v>
      </c>
      <c r="H377" s="795">
        <f t="shared" si="55"/>
        <v>0</v>
      </c>
      <c r="I377" s="795">
        <f t="shared" si="56"/>
        <v>0</v>
      </c>
      <c r="J377" s="795">
        <f t="shared" si="57"/>
        <v>0</v>
      </c>
      <c r="K377" s="108">
        <f t="shared" si="51"/>
        <v>2044</v>
      </c>
      <c r="L377" s="92" t="str">
        <f t="shared" si="52"/>
        <v/>
      </c>
    </row>
    <row r="378" spans="1:12" ht="12.75" customHeight="1">
      <c r="A378" s="90" t="str">
        <f>IF(B378&lt;&gt;"",MAX(A$28:A377)+1,IF(ISNA(HLOOKUP(DATE(YEAR($C$21),MONTH(C378),DAY(C378)),$C$21:$N$21,1,0)),"",MAX(A$28:A377)+1))</f>
        <v/>
      </c>
      <c r="B378" s="91" t="str">
        <f>IF(C378&lt;$K$16,"",IF(ISNA(HLOOKUP(DATE(YEAR($C$20),MONTH($C378),DAY($C378)),$C$20:$N$20,1,0)),"",MAX(B$28:B377)+1))</f>
        <v/>
      </c>
      <c r="C378" s="106">
        <f t="shared" si="58"/>
        <v>52656</v>
      </c>
      <c r="D378" s="795">
        <f t="shared" si="53"/>
        <v>0</v>
      </c>
      <c r="E378" s="795" t="str">
        <f>IF($A378="","",IF($A378=1,D$29*$F378*($C378-$C$28)/$K$17,
(D378*ROUND(($C378-VLOOKUP($A378-1,$A$28:$C378,3,0))/30,0)/12*$F378)
))</f>
        <v/>
      </c>
      <c r="F378" s="107">
        <f t="shared" si="54"/>
        <v>0.06</v>
      </c>
      <c r="G378" s="795">
        <f t="shared" si="50"/>
        <v>0</v>
      </c>
      <c r="H378" s="795">
        <f t="shared" si="55"/>
        <v>0</v>
      </c>
      <c r="I378" s="795">
        <f t="shared" si="56"/>
        <v>0</v>
      </c>
      <c r="J378" s="795">
        <f t="shared" si="57"/>
        <v>0</v>
      </c>
      <c r="K378" s="108">
        <f t="shared" si="51"/>
        <v>2044</v>
      </c>
      <c r="L378" s="92" t="str">
        <f t="shared" si="52"/>
        <v/>
      </c>
    </row>
    <row r="379" spans="1:12" ht="12.75" customHeight="1">
      <c r="A379" s="90">
        <f>IF(B379&lt;&gt;"",MAX(A$28:A378)+1,IF(ISNA(HLOOKUP(DATE(YEAR($C$21),MONTH(C379),DAY(C379)),$C$21:$N$21,1,0)),"",MAX(A$28:A378)+1))</f>
        <v>117</v>
      </c>
      <c r="B379" s="91">
        <f>IF(C379&lt;$K$16,"",IF(ISNA(HLOOKUP(DATE(YEAR($C$20),MONTH($C379),DAY($C379)),$C$20:$N$20,1,0)),"",MAX(B$28:B378)+1))</f>
        <v>105</v>
      </c>
      <c r="C379" s="106">
        <f t="shared" si="58"/>
        <v>52687</v>
      </c>
      <c r="D379" s="795">
        <f t="shared" si="53"/>
        <v>0</v>
      </c>
      <c r="E379" s="795">
        <f>IF($A379="","",IF($A379=1,D$29*$F379*($C379-$C$28)/$K$17,
(D379*ROUND(($C379-VLOOKUP($A379-1,$A$28:$C379,3,0))/30,0)/12*$F379)
))</f>
        <v>0</v>
      </c>
      <c r="F379" s="107">
        <f t="shared" si="54"/>
        <v>0.06</v>
      </c>
      <c r="G379" s="795">
        <f t="shared" si="50"/>
        <v>0</v>
      </c>
      <c r="H379" s="795">
        <f t="shared" si="55"/>
        <v>0</v>
      </c>
      <c r="I379" s="795">
        <f t="shared" si="56"/>
        <v>0</v>
      </c>
      <c r="J379" s="795">
        <f t="shared" si="57"/>
        <v>0</v>
      </c>
      <c r="K379" s="108">
        <f t="shared" si="51"/>
        <v>2044</v>
      </c>
      <c r="L379" s="92" t="str">
        <f t="shared" si="52"/>
        <v/>
      </c>
    </row>
    <row r="380" spans="1:12" ht="12.75" customHeight="1">
      <c r="A380" s="90" t="str">
        <f>IF(B380&lt;&gt;"",MAX(A$28:A379)+1,IF(ISNA(HLOOKUP(DATE(YEAR($C$21),MONTH(C380),DAY(C380)),$C$21:$N$21,1,0)),"",MAX(A$28:A379)+1))</f>
        <v/>
      </c>
      <c r="B380" s="91" t="str">
        <f>IF(C380&lt;$K$16,"",IF(ISNA(HLOOKUP(DATE(YEAR($C$20),MONTH($C380),DAY($C380)),$C$20:$N$20,1,0)),"",MAX(B$28:B379)+1))</f>
        <v/>
      </c>
      <c r="C380" s="106">
        <f t="shared" si="58"/>
        <v>52717</v>
      </c>
      <c r="D380" s="795">
        <f t="shared" si="53"/>
        <v>0</v>
      </c>
      <c r="E380" s="795" t="str">
        <f>IF($A380="","",IF($A380=1,D$29*$F380*($C380-$C$28)/$K$17,
(D380*ROUND(($C380-VLOOKUP($A380-1,$A$28:$C380,3,0))/30,0)/12*$F380)
))</f>
        <v/>
      </c>
      <c r="F380" s="107">
        <f t="shared" si="54"/>
        <v>0.06</v>
      </c>
      <c r="G380" s="795">
        <f t="shared" si="50"/>
        <v>0</v>
      </c>
      <c r="H380" s="795">
        <f t="shared" si="55"/>
        <v>0</v>
      </c>
      <c r="I380" s="795">
        <f t="shared" si="56"/>
        <v>0</v>
      </c>
      <c r="J380" s="795">
        <f t="shared" si="57"/>
        <v>0</v>
      </c>
      <c r="K380" s="108">
        <f t="shared" si="51"/>
        <v>2044</v>
      </c>
      <c r="L380" s="92" t="str">
        <f t="shared" si="52"/>
        <v/>
      </c>
    </row>
    <row r="381" spans="1:12" ht="12.75" customHeight="1">
      <c r="A381" s="90" t="str">
        <f>IF(B381&lt;&gt;"",MAX(A$28:A380)+1,IF(ISNA(HLOOKUP(DATE(YEAR($C$21),MONTH(C381),DAY(C381)),$C$21:$N$21,1,0)),"",MAX(A$28:A380)+1))</f>
        <v/>
      </c>
      <c r="B381" s="91" t="str">
        <f>IF(C381&lt;$K$16,"",IF(ISNA(HLOOKUP(DATE(YEAR($C$20),MONTH($C381),DAY($C381)),$C$20:$N$20,1,0)),"",MAX(B$28:B380)+1))</f>
        <v/>
      </c>
      <c r="C381" s="106">
        <f t="shared" si="58"/>
        <v>52748</v>
      </c>
      <c r="D381" s="795">
        <f t="shared" si="53"/>
        <v>0</v>
      </c>
      <c r="E381" s="795" t="str">
        <f>IF($A381="","",IF($A381=1,D$29*$F381*($C381-$C$28)/$K$17,
(D381*ROUND(($C381-VLOOKUP($A381-1,$A$28:$C381,3,0))/30,0)/12*$F381)
))</f>
        <v/>
      </c>
      <c r="F381" s="107">
        <f t="shared" si="54"/>
        <v>0.06</v>
      </c>
      <c r="G381" s="795">
        <f t="shared" si="50"/>
        <v>0</v>
      </c>
      <c r="H381" s="795">
        <f t="shared" si="55"/>
        <v>0</v>
      </c>
      <c r="I381" s="795">
        <f t="shared" si="56"/>
        <v>0</v>
      </c>
      <c r="J381" s="795">
        <f t="shared" si="57"/>
        <v>0</v>
      </c>
      <c r="K381" s="108">
        <f t="shared" si="51"/>
        <v>2044</v>
      </c>
      <c r="L381" s="92" t="str">
        <f t="shared" si="52"/>
        <v/>
      </c>
    </row>
    <row r="382" spans="1:12" ht="12.75" customHeight="1">
      <c r="A382" s="90">
        <f>IF(B382&lt;&gt;"",MAX(A$28:A381)+1,IF(ISNA(HLOOKUP(DATE(YEAR($C$21),MONTH(C382),DAY(C382)),$C$21:$N$21,1,0)),"",MAX(A$28:A381)+1))</f>
        <v>118</v>
      </c>
      <c r="B382" s="91">
        <f>IF(C382&lt;$K$16,"",IF(ISNA(HLOOKUP(DATE(YEAR($C$20),MONTH($C382),DAY($C382)),$C$20:$N$20,1,0)),"",MAX(B$28:B381)+1))</f>
        <v>106</v>
      </c>
      <c r="C382" s="106">
        <f t="shared" si="58"/>
        <v>52778</v>
      </c>
      <c r="D382" s="795">
        <f t="shared" si="53"/>
        <v>0</v>
      </c>
      <c r="E382" s="795">
        <f>IF($A382="","",IF($A382=1,D$29*$F382*($C382-$C$28)/$K$17,
(D382*ROUND(($C382-VLOOKUP($A382-1,$A$28:$C382,3,0))/30,0)/12*$F382)
))</f>
        <v>0</v>
      </c>
      <c r="F382" s="107">
        <f t="shared" si="54"/>
        <v>0.06</v>
      </c>
      <c r="G382" s="795">
        <f t="shared" si="50"/>
        <v>0</v>
      </c>
      <c r="H382" s="795">
        <f t="shared" si="55"/>
        <v>0</v>
      </c>
      <c r="I382" s="795">
        <f t="shared" si="56"/>
        <v>0</v>
      </c>
      <c r="J382" s="795">
        <f t="shared" si="57"/>
        <v>0</v>
      </c>
      <c r="K382" s="108">
        <f t="shared" si="51"/>
        <v>2044</v>
      </c>
      <c r="L382" s="92" t="str">
        <f t="shared" si="52"/>
        <v/>
      </c>
    </row>
    <row r="383" spans="1:12" ht="12.75" customHeight="1">
      <c r="A383" s="90" t="str">
        <f>IF(B383&lt;&gt;"",MAX(A$28:A382)+1,IF(ISNA(HLOOKUP(DATE(YEAR($C$21),MONTH(C383),DAY(C383)),$C$21:$N$21,1,0)),"",MAX(A$28:A382)+1))</f>
        <v/>
      </c>
      <c r="B383" s="91" t="str">
        <f>IF(C383&lt;$K$16,"",IF(ISNA(HLOOKUP(DATE(YEAR($C$20),MONTH($C383),DAY($C383)),$C$20:$N$20,1,0)),"",MAX(B$28:B382)+1))</f>
        <v/>
      </c>
      <c r="C383" s="106">
        <f t="shared" si="58"/>
        <v>52809</v>
      </c>
      <c r="D383" s="795">
        <f t="shared" si="53"/>
        <v>0</v>
      </c>
      <c r="E383" s="795" t="str">
        <f>IF($A383="","",IF($A383=1,D$29*$F383*($C383-$C$28)/$K$17,
(D383*ROUND(($C383-VLOOKUP($A383-1,$A$28:$C383,3,0))/30,0)/12*$F383)
))</f>
        <v/>
      </c>
      <c r="F383" s="107">
        <f t="shared" si="54"/>
        <v>0.06</v>
      </c>
      <c r="G383" s="795">
        <f t="shared" si="50"/>
        <v>0</v>
      </c>
      <c r="H383" s="795">
        <f t="shared" si="55"/>
        <v>0</v>
      </c>
      <c r="I383" s="795">
        <f t="shared" si="56"/>
        <v>0</v>
      </c>
      <c r="J383" s="795">
        <f t="shared" si="57"/>
        <v>0</v>
      </c>
      <c r="K383" s="108">
        <f t="shared" si="51"/>
        <v>2044</v>
      </c>
      <c r="L383" s="92" t="str">
        <f t="shared" si="52"/>
        <v/>
      </c>
    </row>
    <row r="384" spans="1:12" ht="12.75" customHeight="1">
      <c r="A384" s="90" t="str">
        <f>IF(B384&lt;&gt;"",MAX(A$28:A383)+1,IF(ISNA(HLOOKUP(DATE(YEAR($C$21),MONTH(C384),DAY(C384)),$C$21:$N$21,1,0)),"",MAX(A$28:A383)+1))</f>
        <v/>
      </c>
      <c r="B384" s="91" t="str">
        <f>IF(C384&lt;$K$16,"",IF(ISNA(HLOOKUP(DATE(YEAR($C$20),MONTH($C384),DAY($C384)),$C$20:$N$20,1,0)),"",MAX(B$28:B383)+1))</f>
        <v/>
      </c>
      <c r="C384" s="106">
        <f t="shared" si="58"/>
        <v>52840</v>
      </c>
      <c r="D384" s="795">
        <f t="shared" si="53"/>
        <v>0</v>
      </c>
      <c r="E384" s="795" t="str">
        <f>IF($A384="","",IF($A384=1,D$29*$F384*($C384-$C$28)/$K$17,
(D384*ROUND(($C384-VLOOKUP($A384-1,$A$28:$C384,3,0))/30,0)/12*$F384)
))</f>
        <v/>
      </c>
      <c r="F384" s="107">
        <f t="shared" si="54"/>
        <v>0.06</v>
      </c>
      <c r="G384" s="795">
        <f t="shared" si="50"/>
        <v>0</v>
      </c>
      <c r="H384" s="795">
        <f t="shared" si="55"/>
        <v>0</v>
      </c>
      <c r="I384" s="795">
        <f t="shared" si="56"/>
        <v>0</v>
      </c>
      <c r="J384" s="795">
        <f t="shared" si="57"/>
        <v>0</v>
      </c>
      <c r="K384" s="108">
        <f t="shared" si="51"/>
        <v>2044</v>
      </c>
      <c r="L384" s="92" t="str">
        <f t="shared" si="52"/>
        <v/>
      </c>
    </row>
    <row r="385" spans="1:12" ht="12.75" customHeight="1">
      <c r="A385" s="90">
        <f>IF(B385&lt;&gt;"",MAX(A$28:A384)+1,IF(ISNA(HLOOKUP(DATE(YEAR($C$21),MONTH(C385),DAY(C385)),$C$21:$N$21,1,0)),"",MAX(A$28:A384)+1))</f>
        <v>119</v>
      </c>
      <c r="B385" s="91">
        <f>IF(C385&lt;$K$16,"",IF(ISNA(HLOOKUP(DATE(YEAR($C$20),MONTH($C385),DAY($C385)),$C$20:$N$20,1,0)),"",MAX(B$28:B384)+1))</f>
        <v>107</v>
      </c>
      <c r="C385" s="106">
        <f t="shared" si="58"/>
        <v>52870</v>
      </c>
      <c r="D385" s="795">
        <f t="shared" si="53"/>
        <v>0</v>
      </c>
      <c r="E385" s="795">
        <f>IF($A385="","",IF($A385=1,D$29*$F385*($C385-$C$28)/$K$17,
(D385*ROUND(($C385-VLOOKUP($A385-1,$A$28:$C385,3,0))/30,0)/12*$F385)
))</f>
        <v>0</v>
      </c>
      <c r="F385" s="107">
        <f t="shared" si="54"/>
        <v>0.06</v>
      </c>
      <c r="G385" s="795">
        <f t="shared" si="50"/>
        <v>0</v>
      </c>
      <c r="H385" s="795">
        <f t="shared" si="55"/>
        <v>0</v>
      </c>
      <c r="I385" s="795">
        <f t="shared" si="56"/>
        <v>0</v>
      </c>
      <c r="J385" s="795">
        <f t="shared" si="57"/>
        <v>0</v>
      </c>
      <c r="K385" s="108">
        <f t="shared" si="51"/>
        <v>2044</v>
      </c>
      <c r="L385" s="92" t="str">
        <f t="shared" si="52"/>
        <v/>
      </c>
    </row>
    <row r="386" spans="1:12" ht="12.75" customHeight="1">
      <c r="A386" s="90" t="str">
        <f>IF(B386&lt;&gt;"",MAX(A$28:A385)+1,IF(ISNA(HLOOKUP(DATE(YEAR($C$21),MONTH(C386),DAY(C386)),$C$21:$N$21,1,0)),"",MAX(A$28:A385)+1))</f>
        <v/>
      </c>
      <c r="B386" s="91" t="str">
        <f>IF(C386&lt;$K$16,"",IF(ISNA(HLOOKUP(DATE(YEAR($C$20),MONTH($C386),DAY($C386)),$C$20:$N$20,1,0)),"",MAX(B$28:B385)+1))</f>
        <v/>
      </c>
      <c r="C386" s="106">
        <f t="shared" si="58"/>
        <v>52901</v>
      </c>
      <c r="D386" s="795">
        <f t="shared" si="53"/>
        <v>0</v>
      </c>
      <c r="E386" s="795" t="str">
        <f>IF($A386="","",IF($A386=1,D$29*$F386*($C386-$C$28)/$K$17,
(D386*ROUND(($C386-VLOOKUP($A386-1,$A$28:$C386,3,0))/30,0)/12*$F386)
))</f>
        <v/>
      </c>
      <c r="F386" s="107">
        <f t="shared" si="54"/>
        <v>0.06</v>
      </c>
      <c r="G386" s="795">
        <f t="shared" si="50"/>
        <v>0</v>
      </c>
      <c r="H386" s="795">
        <f t="shared" si="55"/>
        <v>0</v>
      </c>
      <c r="I386" s="795">
        <f t="shared" si="56"/>
        <v>0</v>
      </c>
      <c r="J386" s="795">
        <f t="shared" si="57"/>
        <v>0</v>
      </c>
      <c r="K386" s="108">
        <f t="shared" si="51"/>
        <v>2044</v>
      </c>
      <c r="L386" s="92" t="str">
        <f t="shared" si="52"/>
        <v/>
      </c>
    </row>
    <row r="387" spans="1:12" ht="12.75" customHeight="1">
      <c r="A387" s="90" t="str">
        <f>IF(B387&lt;&gt;"",MAX(A$28:A386)+1,IF(ISNA(HLOOKUP(DATE(YEAR($C$21),MONTH(C387),DAY(C387)),$C$21:$N$21,1,0)),"",MAX(A$28:A386)+1))</f>
        <v/>
      </c>
      <c r="B387" s="91" t="str">
        <f>IF(C387&lt;$K$16,"",IF(ISNA(HLOOKUP(DATE(YEAR($C$20),MONTH($C387),DAY($C387)),$C$20:$N$20,1,0)),"",MAX(B$28:B386)+1))</f>
        <v/>
      </c>
      <c r="C387" s="106">
        <f t="shared" si="58"/>
        <v>52931</v>
      </c>
      <c r="D387" s="795">
        <f t="shared" si="53"/>
        <v>0</v>
      </c>
      <c r="E387" s="795" t="str">
        <f>IF($A387="","",IF($A387=1,D$29*$F387*($C387-$C$28)/$K$17,
(D387*ROUND(($C387-VLOOKUP($A387-1,$A$28:$C387,3,0))/30,0)/12*$F387)
))</f>
        <v/>
      </c>
      <c r="F387" s="107">
        <f t="shared" si="54"/>
        <v>0.06</v>
      </c>
      <c r="G387" s="795">
        <f t="shared" si="50"/>
        <v>0</v>
      </c>
      <c r="H387" s="795">
        <f t="shared" si="55"/>
        <v>0</v>
      </c>
      <c r="I387" s="795">
        <f t="shared" si="56"/>
        <v>0</v>
      </c>
      <c r="J387" s="795">
        <f t="shared" si="57"/>
        <v>0</v>
      </c>
      <c r="K387" s="108">
        <f t="shared" si="51"/>
        <v>2044</v>
      </c>
      <c r="L387" s="92" t="str">
        <f t="shared" si="52"/>
        <v/>
      </c>
    </row>
    <row r="388" spans="1:12" ht="12.75" customHeight="1">
      <c r="A388" s="90">
        <f>IF(B388&lt;&gt;"",MAX(A$28:A387)+1,IF(ISNA(HLOOKUP(DATE(YEAR($C$21),MONTH(C388),DAY(C388)),$C$21:$N$21,1,0)),"",MAX(A$28:A387)+1))</f>
        <v>120</v>
      </c>
      <c r="B388" s="91">
        <f>IF(C388&lt;$K$16,"",IF(ISNA(HLOOKUP(DATE(YEAR($C$20),MONTH($C388),DAY($C388)),$C$20:$N$20,1,0)),"",MAX(B$28:B387)+1))</f>
        <v>108</v>
      </c>
      <c r="C388" s="106">
        <f t="shared" si="58"/>
        <v>52962</v>
      </c>
      <c r="D388" s="795">
        <f t="shared" si="53"/>
        <v>0</v>
      </c>
      <c r="E388" s="795">
        <f>IF($A388="","",IF($A388=1,D$29*$F388*($C388-$C$28)/$K$17,
(D388*ROUND(($C388-VLOOKUP($A388-1,$A$28:$C388,3,0))/30,0)/12*$F388)
))</f>
        <v>0</v>
      </c>
      <c r="F388" s="107">
        <f t="shared" si="54"/>
        <v>0.06</v>
      </c>
      <c r="G388" s="795">
        <f t="shared" si="50"/>
        <v>0</v>
      </c>
      <c r="H388" s="795">
        <f t="shared" si="55"/>
        <v>0</v>
      </c>
      <c r="I388" s="795">
        <f t="shared" si="56"/>
        <v>0</v>
      </c>
      <c r="J388" s="795">
        <f t="shared" si="57"/>
        <v>0</v>
      </c>
      <c r="K388" s="108">
        <f t="shared" si="51"/>
        <v>2044</v>
      </c>
      <c r="L388" s="92" t="str">
        <f t="shared" si="52"/>
        <v/>
      </c>
    </row>
    <row r="389" spans="1:12" ht="12.75" customHeight="1">
      <c r="A389" s="90" t="str">
        <f>IF(B389&lt;&gt;"",MAX(A$28:A388)+1,IF(ISNA(HLOOKUP(DATE(YEAR($C$21),MONTH(C389),DAY(C389)),$C$21:$N$21,1,0)),"",MAX(A$28:A388)+1))</f>
        <v/>
      </c>
      <c r="B389" s="91" t="str">
        <f>IF(C389&lt;$K$16,"",IF(ISNA(HLOOKUP(DATE(YEAR($C$20),MONTH($C389),DAY($C389)),$C$20:$N$20,1,0)),"",MAX(B$28:B388)+1))</f>
        <v/>
      </c>
      <c r="C389" s="106">
        <f t="shared" si="58"/>
        <v>52993</v>
      </c>
      <c r="D389" s="795">
        <f t="shared" si="53"/>
        <v>0</v>
      </c>
      <c r="E389" s="795" t="str">
        <f>IF($A389="","",IF($A389=1,D$29*$F389*($C389-$C$28)/$K$17,
(D389*ROUND(($C389-VLOOKUP($A389-1,$A$28:$C389,3,0))/30,0)/12*$F389)
))</f>
        <v/>
      </c>
      <c r="F389" s="107">
        <f t="shared" si="54"/>
        <v>0.06</v>
      </c>
      <c r="G389" s="795">
        <f t="shared" si="50"/>
        <v>0</v>
      </c>
      <c r="H389" s="795">
        <f t="shared" si="55"/>
        <v>0</v>
      </c>
      <c r="I389" s="795">
        <f t="shared" si="56"/>
        <v>0</v>
      </c>
      <c r="J389" s="795">
        <f t="shared" si="57"/>
        <v>0</v>
      </c>
      <c r="K389" s="108">
        <f t="shared" si="51"/>
        <v>2045</v>
      </c>
      <c r="L389" s="92" t="str">
        <f t="shared" si="52"/>
        <v/>
      </c>
    </row>
    <row r="390" spans="1:12" ht="12.75" customHeight="1">
      <c r="A390" s="90" t="str">
        <f>IF(B390&lt;&gt;"",MAX(A$28:A389)+1,IF(ISNA(HLOOKUP(DATE(YEAR($C$21),MONTH(C390),DAY(C390)),$C$21:$N$21,1,0)),"",MAX(A$28:A389)+1))</f>
        <v/>
      </c>
      <c r="B390" s="91" t="str">
        <f>IF(C390&lt;$K$16,"",IF(ISNA(HLOOKUP(DATE(YEAR($C$20),MONTH($C390),DAY($C390)),$C$20:$N$20,1,0)),"",MAX(B$28:B389)+1))</f>
        <v/>
      </c>
      <c r="C390" s="106">
        <f t="shared" si="58"/>
        <v>53021</v>
      </c>
      <c r="D390" s="795">
        <f t="shared" si="53"/>
        <v>0</v>
      </c>
      <c r="E390" s="795" t="str">
        <f>IF($A390="","",IF($A390=1,D$29*$F390*($C390-$C$28)/$K$17,
(D390*ROUND(($C390-VLOOKUP($A390-1,$A$28:$C390,3,0))/30,0)/12*$F390)
))</f>
        <v/>
      </c>
      <c r="F390" s="107">
        <f t="shared" si="54"/>
        <v>0.06</v>
      </c>
      <c r="G390" s="795">
        <f t="shared" si="50"/>
        <v>0</v>
      </c>
      <c r="H390" s="795">
        <f t="shared" si="55"/>
        <v>0</v>
      </c>
      <c r="I390" s="795">
        <f t="shared" si="56"/>
        <v>0</v>
      </c>
      <c r="J390" s="795">
        <f t="shared" si="57"/>
        <v>0</v>
      </c>
      <c r="K390" s="108">
        <f t="shared" si="51"/>
        <v>2045</v>
      </c>
      <c r="L390" s="92" t="str">
        <f t="shared" si="52"/>
        <v/>
      </c>
    </row>
    <row r="391" spans="1:12" ht="12.75" customHeight="1">
      <c r="A391" s="90">
        <f>IF(B391&lt;&gt;"",MAX(A$28:A390)+1,IF(ISNA(HLOOKUP(DATE(YEAR($C$21),MONTH(C391),DAY(C391)),$C$21:$N$21,1,0)),"",MAX(A$28:A390)+1))</f>
        <v>121</v>
      </c>
      <c r="B391" s="91">
        <f>IF(C391&lt;$K$16,"",IF(ISNA(HLOOKUP(DATE(YEAR($C$20),MONTH($C391),DAY($C391)),$C$20:$N$20,1,0)),"",MAX(B$28:B390)+1))</f>
        <v>109</v>
      </c>
      <c r="C391" s="106">
        <f t="shared" si="58"/>
        <v>53052</v>
      </c>
      <c r="D391" s="795">
        <f t="shared" si="53"/>
        <v>0</v>
      </c>
      <c r="E391" s="795">
        <f>IF($A391="","",IF($A391=1,D$29*$F391*($C391-$C$28)/$K$17,
(D391*ROUND(($C391-VLOOKUP($A391-1,$A$28:$C391,3,0))/30,0)/12*$F391)
))</f>
        <v>0</v>
      </c>
      <c r="F391" s="107">
        <f t="shared" si="54"/>
        <v>0.06</v>
      </c>
      <c r="G391" s="795">
        <f t="shared" si="50"/>
        <v>0</v>
      </c>
      <c r="H391" s="795">
        <f t="shared" si="55"/>
        <v>0</v>
      </c>
      <c r="I391" s="795">
        <f t="shared" si="56"/>
        <v>0</v>
      </c>
      <c r="J391" s="795">
        <f t="shared" si="57"/>
        <v>0</v>
      </c>
      <c r="K391" s="108">
        <f t="shared" si="51"/>
        <v>2045</v>
      </c>
      <c r="L391" s="92" t="str">
        <f t="shared" si="52"/>
        <v/>
      </c>
    </row>
    <row r="392" spans="1:12" ht="12.75" customHeight="1">
      <c r="A392" s="90" t="str">
        <f>IF(B392&lt;&gt;"",MAX(A$28:A391)+1,IF(ISNA(HLOOKUP(DATE(YEAR($C$21),MONTH(C392),DAY(C392)),$C$21:$N$21,1,0)),"",MAX(A$28:A391)+1))</f>
        <v/>
      </c>
      <c r="B392" s="91" t="str">
        <f>IF(C392&lt;$K$16,"",IF(ISNA(HLOOKUP(DATE(YEAR($C$20),MONTH($C392),DAY($C392)),$C$20:$N$20,1,0)),"",MAX(B$28:B391)+1))</f>
        <v/>
      </c>
      <c r="C392" s="106">
        <f t="shared" si="58"/>
        <v>53082</v>
      </c>
      <c r="D392" s="795">
        <f t="shared" si="53"/>
        <v>0</v>
      </c>
      <c r="E392" s="795" t="str">
        <f>IF($A392="","",IF($A392=1,D$29*$F392*($C392-$C$28)/$K$17,
(D392*ROUND(($C392-VLOOKUP($A392-1,$A$28:$C392,3,0))/30,0)/12*$F392)
))</f>
        <v/>
      </c>
      <c r="F392" s="107">
        <f t="shared" si="54"/>
        <v>0.06</v>
      </c>
      <c r="G392" s="795">
        <f t="shared" si="50"/>
        <v>0</v>
      </c>
      <c r="H392" s="795">
        <f t="shared" si="55"/>
        <v>0</v>
      </c>
      <c r="I392" s="795">
        <f t="shared" si="56"/>
        <v>0</v>
      </c>
      <c r="J392" s="795">
        <f t="shared" si="57"/>
        <v>0</v>
      </c>
      <c r="K392" s="108">
        <f t="shared" si="51"/>
        <v>2045</v>
      </c>
      <c r="L392" s="92" t="str">
        <f t="shared" si="52"/>
        <v/>
      </c>
    </row>
    <row r="393" spans="1:12" ht="12.75" customHeight="1">
      <c r="A393" s="90" t="str">
        <f>IF(B393&lt;&gt;"",MAX(A$28:A392)+1,IF(ISNA(HLOOKUP(DATE(YEAR($C$21),MONTH(C393),DAY(C393)),$C$21:$N$21,1,0)),"",MAX(A$28:A392)+1))</f>
        <v/>
      </c>
      <c r="B393" s="91" t="str">
        <f>IF(C393&lt;$K$16,"",IF(ISNA(HLOOKUP(DATE(YEAR($C$20),MONTH($C393),DAY($C393)),$C$20:$N$20,1,0)),"",MAX(B$28:B392)+1))</f>
        <v/>
      </c>
      <c r="C393" s="106">
        <f t="shared" si="58"/>
        <v>53113</v>
      </c>
      <c r="D393" s="795">
        <f t="shared" si="53"/>
        <v>0</v>
      </c>
      <c r="E393" s="795" t="str">
        <f>IF($A393="","",IF($A393=1,D$29*$F393*($C393-$C$28)/$K$17,
(D393*ROUND(($C393-VLOOKUP($A393-1,$A$28:$C393,3,0))/30,0)/12*$F393)
))</f>
        <v/>
      </c>
      <c r="F393" s="107">
        <f t="shared" si="54"/>
        <v>0.06</v>
      </c>
      <c r="G393" s="795">
        <f t="shared" si="50"/>
        <v>0</v>
      </c>
      <c r="H393" s="795">
        <f t="shared" si="55"/>
        <v>0</v>
      </c>
      <c r="I393" s="795">
        <f t="shared" si="56"/>
        <v>0</v>
      </c>
      <c r="J393" s="795">
        <f t="shared" si="57"/>
        <v>0</v>
      </c>
      <c r="K393" s="108">
        <f t="shared" si="51"/>
        <v>2045</v>
      </c>
      <c r="L393" s="92" t="str">
        <f t="shared" si="52"/>
        <v/>
      </c>
    </row>
    <row r="394" spans="1:12" ht="12.75" customHeight="1">
      <c r="A394" s="90">
        <f>IF(B394&lt;&gt;"",MAX(A$28:A393)+1,IF(ISNA(HLOOKUP(DATE(YEAR($C$21),MONTH(C394),DAY(C394)),$C$21:$N$21,1,0)),"",MAX(A$28:A393)+1))</f>
        <v>122</v>
      </c>
      <c r="B394" s="91">
        <f>IF(C394&lt;$K$16,"",IF(ISNA(HLOOKUP(DATE(YEAR($C$20),MONTH($C394),DAY($C394)),$C$20:$N$20,1,0)),"",MAX(B$28:B393)+1))</f>
        <v>110</v>
      </c>
      <c r="C394" s="106">
        <f t="shared" si="58"/>
        <v>53143</v>
      </c>
      <c r="D394" s="795">
        <f t="shared" si="53"/>
        <v>0</v>
      </c>
      <c r="E394" s="795">
        <f>IF($A394="","",IF($A394=1,D$29*$F394*($C394-$C$28)/$K$17,
(D394*ROUND(($C394-VLOOKUP($A394-1,$A$28:$C394,3,0))/30,0)/12*$F394)
))</f>
        <v>0</v>
      </c>
      <c r="F394" s="107">
        <f t="shared" si="54"/>
        <v>0.06</v>
      </c>
      <c r="G394" s="795">
        <f t="shared" si="50"/>
        <v>0</v>
      </c>
      <c r="H394" s="795">
        <f t="shared" si="55"/>
        <v>0</v>
      </c>
      <c r="I394" s="795">
        <f t="shared" si="56"/>
        <v>0</v>
      </c>
      <c r="J394" s="795">
        <f t="shared" si="57"/>
        <v>0</v>
      </c>
      <c r="K394" s="108">
        <f t="shared" si="51"/>
        <v>2045</v>
      </c>
      <c r="L394" s="92" t="str">
        <f t="shared" si="52"/>
        <v/>
      </c>
    </row>
    <row r="395" spans="1:12" ht="12.75" customHeight="1">
      <c r="A395" s="90" t="str">
        <f>IF(B395&lt;&gt;"",MAX(A$28:A394)+1,IF(ISNA(HLOOKUP(DATE(YEAR($C$21),MONTH(C395),DAY(C395)),$C$21:$N$21,1,0)),"",MAX(A$28:A394)+1))</f>
        <v/>
      </c>
      <c r="B395" s="91" t="str">
        <f>IF(C395&lt;$K$16,"",IF(ISNA(HLOOKUP(DATE(YEAR($C$20),MONTH($C395),DAY($C395)),$C$20:$N$20,1,0)),"",MAX(B$28:B394)+1))</f>
        <v/>
      </c>
      <c r="C395" s="106">
        <f t="shared" si="58"/>
        <v>53174</v>
      </c>
      <c r="D395" s="795">
        <f t="shared" si="53"/>
        <v>0</v>
      </c>
      <c r="E395" s="795" t="str">
        <f>IF($A395="","",IF($A395=1,D$29*$F395*($C395-$C$28)/$K$17,
(D395*ROUND(($C395-VLOOKUP($A395-1,$A$28:$C395,3,0))/30,0)/12*$F395)
))</f>
        <v/>
      </c>
      <c r="F395" s="107">
        <f t="shared" si="54"/>
        <v>0.06</v>
      </c>
      <c r="G395" s="795">
        <f t="shared" si="50"/>
        <v>0</v>
      </c>
      <c r="H395" s="795">
        <f t="shared" si="55"/>
        <v>0</v>
      </c>
      <c r="I395" s="795">
        <f t="shared" si="56"/>
        <v>0</v>
      </c>
      <c r="J395" s="795">
        <f t="shared" si="57"/>
        <v>0</v>
      </c>
      <c r="K395" s="108">
        <f t="shared" si="51"/>
        <v>2045</v>
      </c>
      <c r="L395" s="92" t="str">
        <f t="shared" si="52"/>
        <v/>
      </c>
    </row>
    <row r="396" spans="1:12" ht="12.75" customHeight="1">
      <c r="A396" s="90" t="str">
        <f>IF(B396&lt;&gt;"",MAX(A$28:A395)+1,IF(ISNA(HLOOKUP(DATE(YEAR($C$21),MONTH(C396),DAY(C396)),$C$21:$N$21,1,0)),"",MAX(A$28:A395)+1))</f>
        <v/>
      </c>
      <c r="B396" s="91" t="str">
        <f>IF(C396&lt;$K$16,"",IF(ISNA(HLOOKUP(DATE(YEAR($C$20),MONTH($C396),DAY($C396)),$C$20:$N$20,1,0)),"",MAX(B$28:B395)+1))</f>
        <v/>
      </c>
      <c r="C396" s="106">
        <f t="shared" si="58"/>
        <v>53205</v>
      </c>
      <c r="D396" s="795">
        <f t="shared" si="53"/>
        <v>0</v>
      </c>
      <c r="E396" s="795" t="str">
        <f>IF($A396="","",IF($A396=1,D$29*$F396*($C396-$C$28)/$K$17,
(D396*ROUND(($C396-VLOOKUP($A396-1,$A$28:$C396,3,0))/30,0)/12*$F396)
))</f>
        <v/>
      </c>
      <c r="F396" s="107">
        <f t="shared" si="54"/>
        <v>0.06</v>
      </c>
      <c r="G396" s="795">
        <f t="shared" si="50"/>
        <v>0</v>
      </c>
      <c r="H396" s="795">
        <f t="shared" si="55"/>
        <v>0</v>
      </c>
      <c r="I396" s="795">
        <f t="shared" si="56"/>
        <v>0</v>
      </c>
      <c r="J396" s="795">
        <f t="shared" si="57"/>
        <v>0</v>
      </c>
      <c r="K396" s="108">
        <f t="shared" si="51"/>
        <v>2045</v>
      </c>
      <c r="L396" s="92" t="str">
        <f t="shared" si="52"/>
        <v/>
      </c>
    </row>
    <row r="397" spans="1:12" ht="12.75" customHeight="1">
      <c r="A397" s="90">
        <f>IF(B397&lt;&gt;"",MAX(A$28:A396)+1,IF(ISNA(HLOOKUP(DATE(YEAR($C$21),MONTH(C397),DAY(C397)),$C$21:$N$21,1,0)),"",MAX(A$28:A396)+1))</f>
        <v>123</v>
      </c>
      <c r="B397" s="91">
        <f>IF(C397&lt;$K$16,"",IF(ISNA(HLOOKUP(DATE(YEAR($C$20),MONTH($C397),DAY($C397)),$C$20:$N$20,1,0)),"",MAX(B$28:B396)+1))</f>
        <v>111</v>
      </c>
      <c r="C397" s="106">
        <f t="shared" si="58"/>
        <v>53235</v>
      </c>
      <c r="D397" s="795">
        <f t="shared" si="53"/>
        <v>0</v>
      </c>
      <c r="E397" s="795">
        <f>IF($A397="","",IF($A397=1,D$29*$F397*($C397-$C$28)/$K$17,
(D397*ROUND(($C397-VLOOKUP($A397-1,$A$28:$C397,3,0))/30,0)/12*$F397)
))</f>
        <v>0</v>
      </c>
      <c r="F397" s="107">
        <f t="shared" si="54"/>
        <v>0.06</v>
      </c>
      <c r="G397" s="795">
        <f t="shared" si="50"/>
        <v>0</v>
      </c>
      <c r="H397" s="795">
        <f t="shared" si="55"/>
        <v>0</v>
      </c>
      <c r="I397" s="795">
        <f t="shared" si="56"/>
        <v>0</v>
      </c>
      <c r="J397" s="795">
        <f t="shared" si="57"/>
        <v>0</v>
      </c>
      <c r="K397" s="108">
        <f t="shared" si="51"/>
        <v>2045</v>
      </c>
      <c r="L397" s="92" t="str">
        <f t="shared" si="52"/>
        <v/>
      </c>
    </row>
    <row r="398" spans="1:12" ht="12.75" customHeight="1">
      <c r="A398" s="90" t="str">
        <f>IF(B398&lt;&gt;"",MAX(A$28:A397)+1,IF(ISNA(HLOOKUP(DATE(YEAR($C$21),MONTH(C398),DAY(C398)),$C$21:$N$21,1,0)),"",MAX(A$28:A397)+1))</f>
        <v/>
      </c>
      <c r="B398" s="91" t="str">
        <f>IF(C398&lt;$K$16,"",IF(ISNA(HLOOKUP(DATE(YEAR($C$20),MONTH($C398),DAY($C398)),$C$20:$N$20,1,0)),"",MAX(B$28:B397)+1))</f>
        <v/>
      </c>
      <c r="C398" s="106">
        <f t="shared" si="58"/>
        <v>53266</v>
      </c>
      <c r="D398" s="795">
        <f t="shared" si="53"/>
        <v>0</v>
      </c>
      <c r="E398" s="795" t="str">
        <f>IF($A398="","",IF($A398=1,D$29*$F398*($C398-$C$28)/$K$17,
(D398*ROUND(($C398-VLOOKUP($A398-1,$A$28:$C398,3,0))/30,0)/12*$F398)
))</f>
        <v/>
      </c>
      <c r="F398" s="107">
        <f t="shared" si="54"/>
        <v>0.06</v>
      </c>
      <c r="G398" s="795">
        <f t="shared" si="50"/>
        <v>0</v>
      </c>
      <c r="H398" s="795">
        <f t="shared" si="55"/>
        <v>0</v>
      </c>
      <c r="I398" s="795">
        <f t="shared" si="56"/>
        <v>0</v>
      </c>
      <c r="J398" s="795">
        <f t="shared" si="57"/>
        <v>0</v>
      </c>
      <c r="K398" s="108">
        <f t="shared" si="51"/>
        <v>2045</v>
      </c>
      <c r="L398" s="92" t="str">
        <f t="shared" si="52"/>
        <v/>
      </c>
    </row>
    <row r="399" spans="1:12" ht="12.75" customHeight="1">
      <c r="A399" s="90" t="str">
        <f>IF(B399&lt;&gt;"",MAX(A$28:A398)+1,IF(ISNA(HLOOKUP(DATE(YEAR($C$21),MONTH(C399),DAY(C399)),$C$21:$N$21,1,0)),"",MAX(A$28:A398)+1))</f>
        <v/>
      </c>
      <c r="B399" s="91" t="str">
        <f>IF(C399&lt;$K$16,"",IF(ISNA(HLOOKUP(DATE(YEAR($C$20),MONTH($C399),DAY($C399)),$C$20:$N$20,1,0)),"",MAX(B$28:B398)+1))</f>
        <v/>
      </c>
      <c r="C399" s="106">
        <f t="shared" si="58"/>
        <v>53296</v>
      </c>
      <c r="D399" s="795">
        <f t="shared" si="53"/>
        <v>0</v>
      </c>
      <c r="E399" s="795" t="str">
        <f>IF($A399="","",IF($A399=1,D$29*$F399*($C399-$C$28)/$K$17,
(D399*ROUND(($C399-VLOOKUP($A399-1,$A$28:$C399,3,0))/30,0)/12*$F399)
))</f>
        <v/>
      </c>
      <c r="F399" s="107">
        <f t="shared" si="54"/>
        <v>0.06</v>
      </c>
      <c r="G399" s="795">
        <f t="shared" si="50"/>
        <v>0</v>
      </c>
      <c r="H399" s="795">
        <f t="shared" si="55"/>
        <v>0</v>
      </c>
      <c r="I399" s="795">
        <f t="shared" si="56"/>
        <v>0</v>
      </c>
      <c r="J399" s="795">
        <f t="shared" si="57"/>
        <v>0</v>
      </c>
      <c r="K399" s="108">
        <f t="shared" si="51"/>
        <v>2045</v>
      </c>
      <c r="L399" s="92" t="str">
        <f t="shared" si="52"/>
        <v/>
      </c>
    </row>
    <row r="400" spans="1:12" ht="12.75" customHeight="1">
      <c r="A400" s="90">
        <f>IF(B400&lt;&gt;"",MAX(A$28:A399)+1,IF(ISNA(HLOOKUP(DATE(YEAR($C$21),MONTH(C400),DAY(C400)),$C$21:$N$21,1,0)),"",MAX(A$28:A399)+1))</f>
        <v>124</v>
      </c>
      <c r="B400" s="91">
        <f>IF(C400&lt;$K$16,"",IF(ISNA(HLOOKUP(DATE(YEAR($C$20),MONTH($C400),DAY($C400)),$C$20:$N$20,1,0)),"",MAX(B$28:B399)+1))</f>
        <v>112</v>
      </c>
      <c r="C400" s="106">
        <f t="shared" si="58"/>
        <v>53327</v>
      </c>
      <c r="D400" s="795">
        <f t="shared" si="53"/>
        <v>0</v>
      </c>
      <c r="E400" s="795">
        <f>IF($A400="","",IF($A400=1,D$29*$F400*($C400-$C$28)/$K$17,
(D400*ROUND(($C400-VLOOKUP($A400-1,$A$28:$C400,3,0))/30,0)/12*$F400)
))</f>
        <v>0</v>
      </c>
      <c r="F400" s="107">
        <f t="shared" si="54"/>
        <v>0.06</v>
      </c>
      <c r="G400" s="795">
        <f t="shared" si="50"/>
        <v>0</v>
      </c>
      <c r="H400" s="795">
        <f t="shared" si="55"/>
        <v>0</v>
      </c>
      <c r="I400" s="795">
        <f t="shared" si="56"/>
        <v>0</v>
      </c>
      <c r="J400" s="795">
        <f t="shared" si="57"/>
        <v>0</v>
      </c>
      <c r="K400" s="108">
        <f t="shared" si="51"/>
        <v>2045</v>
      </c>
      <c r="L400" s="92" t="str">
        <f t="shared" si="52"/>
        <v/>
      </c>
    </row>
    <row r="401" spans="1:12" ht="12.75" customHeight="1">
      <c r="A401" s="90" t="str">
        <f>IF(B401&lt;&gt;"",MAX(A$28:A400)+1,IF(ISNA(HLOOKUP(DATE(YEAR($C$21),MONTH(C401),DAY(C401)),$C$21:$N$21,1,0)),"",MAX(A$28:A400)+1))</f>
        <v/>
      </c>
      <c r="B401" s="91" t="str">
        <f>IF(C401&lt;$K$16,"",IF(ISNA(HLOOKUP(DATE(YEAR($C$20),MONTH($C401),DAY($C401)),$C$20:$N$20,1,0)),"",MAX(B$28:B400)+1))</f>
        <v/>
      </c>
      <c r="C401" s="106">
        <f t="shared" si="58"/>
        <v>53358</v>
      </c>
      <c r="D401" s="795">
        <f t="shared" si="53"/>
        <v>0</v>
      </c>
      <c r="E401" s="795" t="str">
        <f>IF($A401="","",IF($A401=1,D$29*$F401*($C401-$C$28)/$K$17,
(D401*ROUND(($C401-VLOOKUP($A401-1,$A$28:$C401,3,0))/30,0)/12*$F401)
))</f>
        <v/>
      </c>
      <c r="F401" s="107">
        <f t="shared" si="54"/>
        <v>0.06</v>
      </c>
      <c r="G401" s="795">
        <f t="shared" si="50"/>
        <v>0</v>
      </c>
      <c r="H401" s="795">
        <f t="shared" si="55"/>
        <v>0</v>
      </c>
      <c r="I401" s="795">
        <f t="shared" si="56"/>
        <v>0</v>
      </c>
      <c r="J401" s="795">
        <f t="shared" si="57"/>
        <v>0</v>
      </c>
      <c r="K401" s="108">
        <f t="shared" si="51"/>
        <v>2046</v>
      </c>
      <c r="L401" s="92" t="str">
        <f t="shared" si="52"/>
        <v/>
      </c>
    </row>
    <row r="402" spans="1:12" ht="12.75" customHeight="1">
      <c r="A402" s="90" t="str">
        <f>IF(B402&lt;&gt;"",MAX(A$28:A401)+1,IF(ISNA(HLOOKUP(DATE(YEAR($C$21),MONTH(C402),DAY(C402)),$C$21:$N$21,1,0)),"",MAX(A$28:A401)+1))</f>
        <v/>
      </c>
      <c r="B402" s="91" t="str">
        <f>IF(C402&lt;$K$16,"",IF(ISNA(HLOOKUP(DATE(YEAR($C$20),MONTH($C402),DAY($C402)),$C$20:$N$20,1,0)),"",MAX(B$28:B401)+1))</f>
        <v/>
      </c>
      <c r="C402" s="106">
        <f t="shared" si="58"/>
        <v>53386</v>
      </c>
      <c r="D402" s="795">
        <f t="shared" si="53"/>
        <v>0</v>
      </c>
      <c r="E402" s="795" t="str">
        <f>IF($A402="","",IF($A402=1,D$29*$F402*($C402-$C$28)/$K$17,
(D402*ROUND(($C402-VLOOKUP($A402-1,$A$28:$C402,3,0))/30,0)/12*$F402)
))</f>
        <v/>
      </c>
      <c r="F402" s="107">
        <f t="shared" si="54"/>
        <v>0.06</v>
      </c>
      <c r="G402" s="795">
        <f t="shared" si="50"/>
        <v>0</v>
      </c>
      <c r="H402" s="795">
        <f t="shared" si="55"/>
        <v>0</v>
      </c>
      <c r="I402" s="795">
        <f t="shared" si="56"/>
        <v>0</v>
      </c>
      <c r="J402" s="795">
        <f t="shared" si="57"/>
        <v>0</v>
      </c>
      <c r="K402" s="108">
        <f t="shared" si="51"/>
        <v>2046</v>
      </c>
      <c r="L402" s="92" t="str">
        <f t="shared" si="52"/>
        <v/>
      </c>
    </row>
    <row r="403" spans="1:12" ht="12.75" customHeight="1">
      <c r="A403" s="90">
        <f>IF(B403&lt;&gt;"",MAX(A$28:A402)+1,IF(ISNA(HLOOKUP(DATE(YEAR($C$21),MONTH(C403),DAY(C403)),$C$21:$N$21,1,0)),"",MAX(A$28:A402)+1))</f>
        <v>125</v>
      </c>
      <c r="B403" s="91">
        <f>IF(C403&lt;$K$16,"",IF(ISNA(HLOOKUP(DATE(YEAR($C$20),MONTH($C403),DAY($C403)),$C$20:$N$20,1,0)),"",MAX(B$28:B402)+1))</f>
        <v>113</v>
      </c>
      <c r="C403" s="106">
        <f t="shared" si="58"/>
        <v>53417</v>
      </c>
      <c r="D403" s="795">
        <f t="shared" si="53"/>
        <v>0</v>
      </c>
      <c r="E403" s="795">
        <f>IF($A403="","",IF($A403=1,D$29*$F403*($C403-$C$28)/$K$17,
(D403*ROUND(($C403-VLOOKUP($A403-1,$A$28:$C403,3,0))/30,0)/12*$F403)
))</f>
        <v>0</v>
      </c>
      <c r="F403" s="107">
        <f t="shared" si="54"/>
        <v>0.06</v>
      </c>
      <c r="G403" s="795">
        <f t="shared" si="50"/>
        <v>0</v>
      </c>
      <c r="H403" s="795">
        <f t="shared" si="55"/>
        <v>0</v>
      </c>
      <c r="I403" s="795">
        <f t="shared" si="56"/>
        <v>0</v>
      </c>
      <c r="J403" s="795">
        <f t="shared" si="57"/>
        <v>0</v>
      </c>
      <c r="K403" s="108">
        <f t="shared" si="51"/>
        <v>2046</v>
      </c>
      <c r="L403" s="92" t="str">
        <f t="shared" si="52"/>
        <v/>
      </c>
    </row>
    <row r="404" spans="1:12" ht="12.75" customHeight="1">
      <c r="A404" s="90" t="str">
        <f>IF(B404&lt;&gt;"",MAX(A$28:A403)+1,IF(ISNA(HLOOKUP(DATE(YEAR($C$21),MONTH(C404),DAY(C404)),$C$21:$N$21,1,0)),"",MAX(A$28:A403)+1))</f>
        <v/>
      </c>
      <c r="B404" s="91" t="str">
        <f>IF(C404&lt;$K$16,"",IF(ISNA(HLOOKUP(DATE(YEAR($C$20),MONTH($C404),DAY($C404)),$C$20:$N$20,1,0)),"",MAX(B$28:B403)+1))</f>
        <v/>
      </c>
      <c r="C404" s="106">
        <f t="shared" si="58"/>
        <v>53447</v>
      </c>
      <c r="D404" s="795">
        <f t="shared" si="53"/>
        <v>0</v>
      </c>
      <c r="E404" s="795" t="str">
        <f>IF($A404="","",IF($A404=1,D$29*$F404*($C404-$C$28)/$K$17,
(D404*ROUND(($C404-VLOOKUP($A404-1,$A$28:$C404,3,0))/30,0)/12*$F404)
))</f>
        <v/>
      </c>
      <c r="F404" s="107">
        <f t="shared" si="54"/>
        <v>0.06</v>
      </c>
      <c r="G404" s="795">
        <f t="shared" si="50"/>
        <v>0</v>
      </c>
      <c r="H404" s="795">
        <f t="shared" si="55"/>
        <v>0</v>
      </c>
      <c r="I404" s="795">
        <f t="shared" si="56"/>
        <v>0</v>
      </c>
      <c r="J404" s="795">
        <f t="shared" si="57"/>
        <v>0</v>
      </c>
      <c r="K404" s="108">
        <f t="shared" si="51"/>
        <v>2046</v>
      </c>
      <c r="L404" s="92" t="str">
        <f t="shared" si="52"/>
        <v/>
      </c>
    </row>
    <row r="405" spans="1:12" ht="12.75" customHeight="1">
      <c r="A405" s="90" t="str">
        <f>IF(B405&lt;&gt;"",MAX(A$28:A404)+1,IF(ISNA(HLOOKUP(DATE(YEAR($C$21),MONTH(C405),DAY(C405)),$C$21:$N$21,1,0)),"",MAX(A$28:A404)+1))</f>
        <v/>
      </c>
      <c r="B405" s="91" t="str">
        <f>IF(C405&lt;$K$16,"",IF(ISNA(HLOOKUP(DATE(YEAR($C$20),MONTH($C405),DAY($C405)),$C$20:$N$20,1,0)),"",MAX(B$28:B404)+1))</f>
        <v/>
      </c>
      <c r="C405" s="106">
        <f t="shared" si="58"/>
        <v>53478</v>
      </c>
      <c r="D405" s="795">
        <f t="shared" si="53"/>
        <v>0</v>
      </c>
      <c r="E405" s="795" t="str">
        <f>IF($A405="","",IF($A405=1,D$29*$F405*($C405-$C$28)/$K$17,
(D405*ROUND(($C405-VLOOKUP($A405-1,$A$28:$C405,3,0))/30,0)/12*$F405)
))</f>
        <v/>
      </c>
      <c r="F405" s="107">
        <f t="shared" si="54"/>
        <v>0.06</v>
      </c>
      <c r="G405" s="795">
        <f t="shared" si="50"/>
        <v>0</v>
      </c>
      <c r="H405" s="795">
        <f t="shared" si="55"/>
        <v>0</v>
      </c>
      <c r="I405" s="795">
        <f t="shared" si="56"/>
        <v>0</v>
      </c>
      <c r="J405" s="795">
        <f t="shared" si="57"/>
        <v>0</v>
      </c>
      <c r="K405" s="108">
        <f t="shared" si="51"/>
        <v>2046</v>
      </c>
      <c r="L405" s="92" t="str">
        <f t="shared" si="52"/>
        <v/>
      </c>
    </row>
    <row r="406" spans="1:12" ht="12.75" customHeight="1">
      <c r="A406" s="90">
        <f>IF(B406&lt;&gt;"",MAX(A$28:A405)+1,IF(ISNA(HLOOKUP(DATE(YEAR($C$21),MONTH(C406),DAY(C406)),$C$21:$N$21,1,0)),"",MAX(A$28:A405)+1))</f>
        <v>126</v>
      </c>
      <c r="B406" s="91">
        <f>IF(C406&lt;$K$16,"",IF(ISNA(HLOOKUP(DATE(YEAR($C$20),MONTH($C406),DAY($C406)),$C$20:$N$20,1,0)),"",MAX(B$28:B405)+1))</f>
        <v>114</v>
      </c>
      <c r="C406" s="106">
        <f t="shared" si="58"/>
        <v>53508</v>
      </c>
      <c r="D406" s="795">
        <f t="shared" si="53"/>
        <v>0</v>
      </c>
      <c r="E406" s="795">
        <f>IF($A406="","",IF($A406=1,D$29*$F406*($C406-$C$28)/$K$17,
(D406*ROUND(($C406-VLOOKUP($A406-1,$A$28:$C406,3,0))/30,0)/12*$F406)
))</f>
        <v>0</v>
      </c>
      <c r="F406" s="107">
        <f t="shared" si="54"/>
        <v>0.06</v>
      </c>
      <c r="G406" s="795">
        <f t="shared" si="50"/>
        <v>0</v>
      </c>
      <c r="H406" s="795">
        <f t="shared" si="55"/>
        <v>0</v>
      </c>
      <c r="I406" s="795">
        <f t="shared" si="56"/>
        <v>0</v>
      </c>
      <c r="J406" s="795">
        <f t="shared" si="57"/>
        <v>0</v>
      </c>
      <c r="K406" s="108">
        <f t="shared" si="51"/>
        <v>2046</v>
      </c>
      <c r="L406" s="92" t="str">
        <f t="shared" si="52"/>
        <v/>
      </c>
    </row>
    <row r="407" spans="1:12" ht="12.75" customHeight="1">
      <c r="A407" s="90" t="str">
        <f>IF(B407&lt;&gt;"",MAX(A$28:A406)+1,IF(ISNA(HLOOKUP(DATE(YEAR($C$21),MONTH(C407),DAY(C407)),$C$21:$N$21,1,0)),"",MAX(A$28:A406)+1))</f>
        <v/>
      </c>
      <c r="B407" s="91" t="str">
        <f>IF(C407&lt;$K$16,"",IF(ISNA(HLOOKUP(DATE(YEAR($C$20),MONTH($C407),DAY($C407)),$C$20:$N$20,1,0)),"",MAX(B$28:B406)+1))</f>
        <v/>
      </c>
      <c r="C407" s="106">
        <f t="shared" si="58"/>
        <v>53539</v>
      </c>
      <c r="D407" s="795">
        <f t="shared" si="53"/>
        <v>0</v>
      </c>
      <c r="E407" s="795" t="str">
        <f>IF($A407="","",IF($A407=1,D$29*$F407*($C407-$C$28)/$K$17,
(D407*ROUND(($C407-VLOOKUP($A407-1,$A$28:$C407,3,0))/30,0)/12*$F407)
))</f>
        <v/>
      </c>
      <c r="F407" s="107">
        <f t="shared" si="54"/>
        <v>0.06</v>
      </c>
      <c r="G407" s="795">
        <f t="shared" si="50"/>
        <v>0</v>
      </c>
      <c r="H407" s="795">
        <f t="shared" si="55"/>
        <v>0</v>
      </c>
      <c r="I407" s="795">
        <f t="shared" si="56"/>
        <v>0</v>
      </c>
      <c r="J407" s="795">
        <f t="shared" si="57"/>
        <v>0</v>
      </c>
      <c r="K407" s="108">
        <f t="shared" si="51"/>
        <v>2046</v>
      </c>
      <c r="L407" s="92" t="str">
        <f t="shared" si="52"/>
        <v/>
      </c>
    </row>
    <row r="408" spans="1:12" ht="12.75" customHeight="1">
      <c r="A408" s="90" t="str">
        <f>IF(B408&lt;&gt;"",MAX(A$28:A407)+1,IF(ISNA(HLOOKUP(DATE(YEAR($C$21),MONTH(C408),DAY(C408)),$C$21:$N$21,1,0)),"",MAX(A$28:A407)+1))</f>
        <v/>
      </c>
      <c r="B408" s="91" t="str">
        <f>IF(C408&lt;$K$16,"",IF(ISNA(HLOOKUP(DATE(YEAR($C$20),MONTH($C408),DAY($C408)),$C$20:$N$20,1,0)),"",MAX(B$28:B407)+1))</f>
        <v/>
      </c>
      <c r="C408" s="106">
        <f t="shared" si="58"/>
        <v>53570</v>
      </c>
      <c r="D408" s="795">
        <f t="shared" si="53"/>
        <v>0</v>
      </c>
      <c r="E408" s="795" t="str">
        <f>IF($A408="","",IF($A408=1,D$29*$F408*($C408-$C$28)/$K$17,
(D408*ROUND(($C408-VLOOKUP($A408-1,$A$28:$C408,3,0))/30,0)/12*$F408)
))</f>
        <v/>
      </c>
      <c r="F408" s="107">
        <f t="shared" si="54"/>
        <v>0.06</v>
      </c>
      <c r="G408" s="795">
        <f t="shared" si="50"/>
        <v>0</v>
      </c>
      <c r="H408" s="795">
        <f t="shared" si="55"/>
        <v>0</v>
      </c>
      <c r="I408" s="795">
        <f t="shared" si="56"/>
        <v>0</v>
      </c>
      <c r="J408" s="795">
        <f t="shared" si="57"/>
        <v>0</v>
      </c>
      <c r="K408" s="108">
        <f t="shared" si="51"/>
        <v>2046</v>
      </c>
      <c r="L408" s="92" t="str">
        <f t="shared" si="52"/>
        <v/>
      </c>
    </row>
    <row r="409" spans="1:12" ht="12.75" customHeight="1">
      <c r="A409" s="90">
        <f>IF(B409&lt;&gt;"",MAX(A$28:A408)+1,IF(ISNA(HLOOKUP(DATE(YEAR($C$21),MONTH(C409),DAY(C409)),$C$21:$N$21,1,0)),"",MAX(A$28:A408)+1))</f>
        <v>127</v>
      </c>
      <c r="B409" s="91">
        <f>IF(C409&lt;$K$16,"",IF(ISNA(HLOOKUP(DATE(YEAR($C$20),MONTH($C409),DAY($C409)),$C$20:$N$20,1,0)),"",MAX(B$28:B408)+1))</f>
        <v>115</v>
      </c>
      <c r="C409" s="106">
        <f t="shared" si="58"/>
        <v>53600</v>
      </c>
      <c r="D409" s="795">
        <f t="shared" si="53"/>
        <v>0</v>
      </c>
      <c r="E409" s="795">
        <f>IF($A409="","",IF($A409=1,D$29*$F409*($C409-$C$28)/$K$17,
(D409*ROUND(($C409-VLOOKUP($A409-1,$A$28:$C409,3,0))/30,0)/12*$F409)
))</f>
        <v>0</v>
      </c>
      <c r="F409" s="107">
        <f t="shared" si="54"/>
        <v>0.06</v>
      </c>
      <c r="G409" s="795">
        <f t="shared" si="50"/>
        <v>0</v>
      </c>
      <c r="H409" s="795">
        <f t="shared" si="55"/>
        <v>0</v>
      </c>
      <c r="I409" s="795">
        <f t="shared" si="56"/>
        <v>0</v>
      </c>
      <c r="J409" s="795">
        <f t="shared" si="57"/>
        <v>0</v>
      </c>
      <c r="K409" s="108">
        <f t="shared" si="51"/>
        <v>2046</v>
      </c>
      <c r="L409" s="92" t="str">
        <f t="shared" si="52"/>
        <v/>
      </c>
    </row>
    <row r="410" spans="1:12" ht="12.75" customHeight="1">
      <c r="A410" s="90" t="str">
        <f>IF(B410&lt;&gt;"",MAX(A$28:A409)+1,IF(ISNA(HLOOKUP(DATE(YEAR($C$21),MONTH(C410),DAY(C410)),$C$21:$N$21,1,0)),"",MAX(A$28:A409)+1))</f>
        <v/>
      </c>
      <c r="B410" s="91" t="str">
        <f>IF(C410&lt;$K$16,"",IF(ISNA(HLOOKUP(DATE(YEAR($C$20),MONTH($C410),DAY($C410)),$C$20:$N$20,1,0)),"",MAX(B$28:B409)+1))</f>
        <v/>
      </c>
      <c r="C410" s="106">
        <f t="shared" si="58"/>
        <v>53631</v>
      </c>
      <c r="D410" s="795">
        <f t="shared" si="53"/>
        <v>0</v>
      </c>
      <c r="E410" s="795" t="str">
        <f>IF($A410="","",IF($A410=1,D$29*$F410*($C410-$C$28)/$K$17,
(D410*ROUND(($C410-VLOOKUP($A410-1,$A$28:$C410,3,0))/30,0)/12*$F410)
))</f>
        <v/>
      </c>
      <c r="F410" s="107">
        <f t="shared" si="54"/>
        <v>0.06</v>
      </c>
      <c r="G410" s="795">
        <f t="shared" si="50"/>
        <v>0</v>
      </c>
      <c r="H410" s="795">
        <f t="shared" si="55"/>
        <v>0</v>
      </c>
      <c r="I410" s="795">
        <f t="shared" si="56"/>
        <v>0</v>
      </c>
      <c r="J410" s="795">
        <f t="shared" si="57"/>
        <v>0</v>
      </c>
      <c r="K410" s="108">
        <f t="shared" si="51"/>
        <v>2046</v>
      </c>
      <c r="L410" s="92" t="str">
        <f t="shared" si="52"/>
        <v/>
      </c>
    </row>
    <row r="411" spans="1:12" ht="12.75" customHeight="1">
      <c r="A411" s="90" t="str">
        <f>IF(B411&lt;&gt;"",MAX(A$28:A410)+1,IF(ISNA(HLOOKUP(DATE(YEAR($C$21),MONTH(C411),DAY(C411)),$C$21:$N$21,1,0)),"",MAX(A$28:A410)+1))</f>
        <v/>
      </c>
      <c r="B411" s="91" t="str">
        <f>IF(C411&lt;$K$16,"",IF(ISNA(HLOOKUP(DATE(YEAR($C$20),MONTH($C411),DAY($C411)),$C$20:$N$20,1,0)),"",MAX(B$28:B410)+1))</f>
        <v/>
      </c>
      <c r="C411" s="106">
        <f t="shared" si="58"/>
        <v>53661</v>
      </c>
      <c r="D411" s="795">
        <f t="shared" si="53"/>
        <v>0</v>
      </c>
      <c r="E411" s="795" t="str">
        <f>IF($A411="","",IF($A411=1,D$29*$F411*($C411-$C$28)/$K$17,
(D411*ROUND(($C411-VLOOKUP($A411-1,$A$28:$C411,3,0))/30,0)/12*$F411)
))</f>
        <v/>
      </c>
      <c r="F411" s="107">
        <f t="shared" si="54"/>
        <v>0.06</v>
      </c>
      <c r="G411" s="795">
        <f t="shared" si="50"/>
        <v>0</v>
      </c>
      <c r="H411" s="795">
        <f t="shared" si="55"/>
        <v>0</v>
      </c>
      <c r="I411" s="795">
        <f t="shared" si="56"/>
        <v>0</v>
      </c>
      <c r="J411" s="795">
        <f t="shared" si="57"/>
        <v>0</v>
      </c>
      <c r="K411" s="108">
        <f t="shared" si="51"/>
        <v>2046</v>
      </c>
      <c r="L411" s="92" t="str">
        <f t="shared" si="52"/>
        <v/>
      </c>
    </row>
    <row r="412" spans="1:12" ht="12.75" customHeight="1">
      <c r="A412" s="90">
        <f>IF(B412&lt;&gt;"",MAX(A$28:A411)+1,IF(ISNA(HLOOKUP(DATE(YEAR($C$21),MONTH(C412),DAY(C412)),$C$21:$N$21,1,0)),"",MAX(A$28:A411)+1))</f>
        <v>128</v>
      </c>
      <c r="B412" s="91">
        <f>IF(C412&lt;$K$16,"",IF(ISNA(HLOOKUP(DATE(YEAR($C$20),MONTH($C412),DAY($C412)),$C$20:$N$20,1,0)),"",MAX(B$28:B411)+1))</f>
        <v>116</v>
      </c>
      <c r="C412" s="106">
        <f t="shared" si="58"/>
        <v>53692</v>
      </c>
      <c r="D412" s="795">
        <f t="shared" si="53"/>
        <v>0</v>
      </c>
      <c r="E412" s="795">
        <f>IF($A412="","",IF($A412=1,D$29*$F412*($C412-$C$28)/$K$17,
(D412*ROUND(($C412-VLOOKUP($A412-1,$A$28:$C412,3,0))/30,0)/12*$F412)
))</f>
        <v>0</v>
      </c>
      <c r="F412" s="107">
        <f t="shared" si="54"/>
        <v>0.06</v>
      </c>
      <c r="G412" s="795">
        <f t="shared" ref="G412:G475" si="59">IF($A$26=1,I412,H412)</f>
        <v>0</v>
      </c>
      <c r="H412" s="795">
        <f t="shared" si="55"/>
        <v>0</v>
      </c>
      <c r="I412" s="795">
        <f t="shared" si="56"/>
        <v>0</v>
      </c>
      <c r="J412" s="795">
        <f t="shared" si="57"/>
        <v>0</v>
      </c>
      <c r="K412" s="108">
        <f t="shared" ref="K412:K475" si="60">YEAR(C412)</f>
        <v>2046</v>
      </c>
      <c r="L412" s="92" t="str">
        <f t="shared" ref="L412:L475" si="61">IF(AND(D412&gt;1,D413&lt;1),C412,"")</f>
        <v/>
      </c>
    </row>
    <row r="413" spans="1:12" ht="12.75" customHeight="1">
      <c r="A413" s="90" t="str">
        <f>IF(B413&lt;&gt;"",MAX(A$28:A412)+1,IF(ISNA(HLOOKUP(DATE(YEAR($C$21),MONTH(C413),DAY(C413)),$C$21:$N$21,1,0)),"",MAX(A$28:A412)+1))</f>
        <v/>
      </c>
      <c r="B413" s="91" t="str">
        <f>IF(C413&lt;$K$16,"",IF(ISNA(HLOOKUP(DATE(YEAR($C$20),MONTH($C413),DAY($C413)),$C$20:$N$20,1,0)),"",MAX(B$28:B412)+1))</f>
        <v/>
      </c>
      <c r="C413" s="106">
        <f t="shared" si="58"/>
        <v>53723</v>
      </c>
      <c r="D413" s="795">
        <f t="shared" ref="D413:D476" si="62">D412-G412</f>
        <v>0</v>
      </c>
      <c r="E413" s="795" t="str">
        <f>IF($A413="","",IF($A413=1,D$29*$F413*($C413-$C$28)/$K$17,
(D413*ROUND(($C413-VLOOKUP($A413-1,$A$28:$C413,3,0))/30,0)/12*$F413)
))</f>
        <v/>
      </c>
      <c r="F413" s="107">
        <f t="shared" ref="F413:F476" si="63">IF(C413&gt;=$E$16,$E$15,$C$15)</f>
        <v>0.06</v>
      </c>
      <c r="G413" s="795">
        <f t="shared" si="59"/>
        <v>0</v>
      </c>
      <c r="H413" s="795">
        <f t="shared" ref="H413:H476" si="64">IF(B413="",0,MIN(D413,$E$14*$K$15/$H$16))</f>
        <v>0</v>
      </c>
      <c r="I413" s="795">
        <f t="shared" ref="I413:I476" si="65">IF(B413="",0,MIN(D412,IF(C413&gt;$E$16,$H$18,$H$15)/$H$16-E413))</f>
        <v>0</v>
      </c>
      <c r="J413" s="795">
        <f t="shared" ref="J413:J476" si="66">SUM(E413,G413)</f>
        <v>0</v>
      </c>
      <c r="K413" s="108">
        <f t="shared" si="60"/>
        <v>2047</v>
      </c>
      <c r="L413" s="92" t="str">
        <f t="shared" si="61"/>
        <v/>
      </c>
    </row>
    <row r="414" spans="1:12" ht="12.75" customHeight="1">
      <c r="A414" s="90" t="str">
        <f>IF(B414&lt;&gt;"",MAX(A$28:A413)+1,IF(ISNA(HLOOKUP(DATE(YEAR($C$21),MONTH(C414),DAY(C414)),$C$21:$N$21,1,0)),"",MAX(A$28:A413)+1))</f>
        <v/>
      </c>
      <c r="B414" s="91" t="str">
        <f>IF(C414&lt;$K$16,"",IF(ISNA(HLOOKUP(DATE(YEAR($C$20),MONTH($C414),DAY($C414)),$C$20:$N$20,1,0)),"",MAX(B$28:B413)+1))</f>
        <v/>
      </c>
      <c r="C414" s="106">
        <f t="shared" ref="C414:C477" si="67">DATE(YEAR(C413),MONTH(C413)+2,1)-1</f>
        <v>53751</v>
      </c>
      <c r="D414" s="795">
        <f t="shared" si="62"/>
        <v>0</v>
      </c>
      <c r="E414" s="795" t="str">
        <f>IF($A414="","",IF($A414=1,D$29*$F414*($C414-$C$28)/$K$17,
(D414*ROUND(($C414-VLOOKUP($A414-1,$A$28:$C414,3,0))/30,0)/12*$F414)
))</f>
        <v/>
      </c>
      <c r="F414" s="107">
        <f t="shared" si="63"/>
        <v>0.06</v>
      </c>
      <c r="G414" s="795">
        <f t="shared" si="59"/>
        <v>0</v>
      </c>
      <c r="H414" s="795">
        <f t="shared" si="64"/>
        <v>0</v>
      </c>
      <c r="I414" s="795">
        <f t="shared" si="65"/>
        <v>0</v>
      </c>
      <c r="J414" s="795">
        <f t="shared" si="66"/>
        <v>0</v>
      </c>
      <c r="K414" s="108">
        <f t="shared" si="60"/>
        <v>2047</v>
      </c>
      <c r="L414" s="92" t="str">
        <f t="shared" si="61"/>
        <v/>
      </c>
    </row>
    <row r="415" spans="1:12" ht="12.75" customHeight="1">
      <c r="A415" s="90">
        <f>IF(B415&lt;&gt;"",MAX(A$28:A414)+1,IF(ISNA(HLOOKUP(DATE(YEAR($C$21),MONTH(C415),DAY(C415)),$C$21:$N$21,1,0)),"",MAX(A$28:A414)+1))</f>
        <v>129</v>
      </c>
      <c r="B415" s="91">
        <f>IF(C415&lt;$K$16,"",IF(ISNA(HLOOKUP(DATE(YEAR($C$20),MONTH($C415),DAY($C415)),$C$20:$N$20,1,0)),"",MAX(B$28:B414)+1))</f>
        <v>117</v>
      </c>
      <c r="C415" s="106">
        <f t="shared" si="67"/>
        <v>53782</v>
      </c>
      <c r="D415" s="795">
        <f t="shared" si="62"/>
        <v>0</v>
      </c>
      <c r="E415" s="795">
        <f>IF($A415="","",IF($A415=1,D$29*$F415*($C415-$C$28)/$K$17,
(D415*ROUND(($C415-VLOOKUP($A415-1,$A$28:$C415,3,0))/30,0)/12*$F415)
))</f>
        <v>0</v>
      </c>
      <c r="F415" s="107">
        <f t="shared" si="63"/>
        <v>0.06</v>
      </c>
      <c r="G415" s="795">
        <f t="shared" si="59"/>
        <v>0</v>
      </c>
      <c r="H415" s="795">
        <f t="shared" si="64"/>
        <v>0</v>
      </c>
      <c r="I415" s="795">
        <f t="shared" si="65"/>
        <v>0</v>
      </c>
      <c r="J415" s="795">
        <f t="shared" si="66"/>
        <v>0</v>
      </c>
      <c r="K415" s="108">
        <f t="shared" si="60"/>
        <v>2047</v>
      </c>
      <c r="L415" s="92" t="str">
        <f t="shared" si="61"/>
        <v/>
      </c>
    </row>
    <row r="416" spans="1:12" ht="12.75" customHeight="1">
      <c r="A416" s="90" t="str">
        <f>IF(B416&lt;&gt;"",MAX(A$28:A415)+1,IF(ISNA(HLOOKUP(DATE(YEAR($C$21),MONTH(C416),DAY(C416)),$C$21:$N$21,1,0)),"",MAX(A$28:A415)+1))</f>
        <v/>
      </c>
      <c r="B416" s="91" t="str">
        <f>IF(C416&lt;$K$16,"",IF(ISNA(HLOOKUP(DATE(YEAR($C$20),MONTH($C416),DAY($C416)),$C$20:$N$20,1,0)),"",MAX(B$28:B415)+1))</f>
        <v/>
      </c>
      <c r="C416" s="106">
        <f t="shared" si="67"/>
        <v>53812</v>
      </c>
      <c r="D416" s="795">
        <f t="shared" si="62"/>
        <v>0</v>
      </c>
      <c r="E416" s="795" t="str">
        <f>IF($A416="","",IF($A416=1,D$29*$F416*($C416-$C$28)/$K$17,
(D416*ROUND(($C416-VLOOKUP($A416-1,$A$28:$C416,3,0))/30,0)/12*$F416)
))</f>
        <v/>
      </c>
      <c r="F416" s="107">
        <f t="shared" si="63"/>
        <v>0.06</v>
      </c>
      <c r="G416" s="795">
        <f t="shared" si="59"/>
        <v>0</v>
      </c>
      <c r="H416" s="795">
        <f t="shared" si="64"/>
        <v>0</v>
      </c>
      <c r="I416" s="795">
        <f t="shared" si="65"/>
        <v>0</v>
      </c>
      <c r="J416" s="795">
        <f t="shared" si="66"/>
        <v>0</v>
      </c>
      <c r="K416" s="108">
        <f t="shared" si="60"/>
        <v>2047</v>
      </c>
      <c r="L416" s="92" t="str">
        <f t="shared" si="61"/>
        <v/>
      </c>
    </row>
    <row r="417" spans="1:12" ht="12.75" customHeight="1">
      <c r="A417" s="90" t="str">
        <f>IF(B417&lt;&gt;"",MAX(A$28:A416)+1,IF(ISNA(HLOOKUP(DATE(YEAR($C$21),MONTH(C417),DAY(C417)),$C$21:$N$21,1,0)),"",MAX(A$28:A416)+1))</f>
        <v/>
      </c>
      <c r="B417" s="91" t="str">
        <f>IF(C417&lt;$K$16,"",IF(ISNA(HLOOKUP(DATE(YEAR($C$20),MONTH($C417),DAY($C417)),$C$20:$N$20,1,0)),"",MAX(B$28:B416)+1))</f>
        <v/>
      </c>
      <c r="C417" s="106">
        <f t="shared" si="67"/>
        <v>53843</v>
      </c>
      <c r="D417" s="795">
        <f t="shared" si="62"/>
        <v>0</v>
      </c>
      <c r="E417" s="795" t="str">
        <f>IF($A417="","",IF($A417=1,D$29*$F417*($C417-$C$28)/$K$17,
(D417*ROUND(($C417-VLOOKUP($A417-1,$A$28:$C417,3,0))/30,0)/12*$F417)
))</f>
        <v/>
      </c>
      <c r="F417" s="107">
        <f t="shared" si="63"/>
        <v>0.06</v>
      </c>
      <c r="G417" s="795">
        <f t="shared" si="59"/>
        <v>0</v>
      </c>
      <c r="H417" s="795">
        <f t="shared" si="64"/>
        <v>0</v>
      </c>
      <c r="I417" s="795">
        <f t="shared" si="65"/>
        <v>0</v>
      </c>
      <c r="J417" s="795">
        <f t="shared" si="66"/>
        <v>0</v>
      </c>
      <c r="K417" s="108">
        <f t="shared" si="60"/>
        <v>2047</v>
      </c>
      <c r="L417" s="92" t="str">
        <f t="shared" si="61"/>
        <v/>
      </c>
    </row>
    <row r="418" spans="1:12" ht="12.75" customHeight="1">
      <c r="A418" s="90">
        <f>IF(B418&lt;&gt;"",MAX(A$28:A417)+1,IF(ISNA(HLOOKUP(DATE(YEAR($C$21),MONTH(C418),DAY(C418)),$C$21:$N$21,1,0)),"",MAX(A$28:A417)+1))</f>
        <v>130</v>
      </c>
      <c r="B418" s="91">
        <f>IF(C418&lt;$K$16,"",IF(ISNA(HLOOKUP(DATE(YEAR($C$20),MONTH($C418),DAY($C418)),$C$20:$N$20,1,0)),"",MAX(B$28:B417)+1))</f>
        <v>118</v>
      </c>
      <c r="C418" s="106">
        <f t="shared" si="67"/>
        <v>53873</v>
      </c>
      <c r="D418" s="795">
        <f t="shared" si="62"/>
        <v>0</v>
      </c>
      <c r="E418" s="795">
        <f>IF($A418="","",IF($A418=1,D$29*$F418*($C418-$C$28)/$K$17,
(D418*ROUND(($C418-VLOOKUP($A418-1,$A$28:$C418,3,0))/30,0)/12*$F418)
))</f>
        <v>0</v>
      </c>
      <c r="F418" s="107">
        <f t="shared" si="63"/>
        <v>0.06</v>
      </c>
      <c r="G418" s="795">
        <f t="shared" si="59"/>
        <v>0</v>
      </c>
      <c r="H418" s="795">
        <f t="shared" si="64"/>
        <v>0</v>
      </c>
      <c r="I418" s="795">
        <f t="shared" si="65"/>
        <v>0</v>
      </c>
      <c r="J418" s="795">
        <f t="shared" si="66"/>
        <v>0</v>
      </c>
      <c r="K418" s="108">
        <f t="shared" si="60"/>
        <v>2047</v>
      </c>
      <c r="L418" s="92" t="str">
        <f t="shared" si="61"/>
        <v/>
      </c>
    </row>
    <row r="419" spans="1:12" ht="12.75" customHeight="1">
      <c r="A419" s="90" t="str">
        <f>IF(B419&lt;&gt;"",MAX(A$28:A418)+1,IF(ISNA(HLOOKUP(DATE(YEAR($C$21),MONTH(C419),DAY(C419)),$C$21:$N$21,1,0)),"",MAX(A$28:A418)+1))</f>
        <v/>
      </c>
      <c r="B419" s="91" t="str">
        <f>IF(C419&lt;$K$16,"",IF(ISNA(HLOOKUP(DATE(YEAR($C$20),MONTH($C419),DAY($C419)),$C$20:$N$20,1,0)),"",MAX(B$28:B418)+1))</f>
        <v/>
      </c>
      <c r="C419" s="106">
        <f t="shared" si="67"/>
        <v>53904</v>
      </c>
      <c r="D419" s="795">
        <f t="shared" si="62"/>
        <v>0</v>
      </c>
      <c r="E419" s="795" t="str">
        <f>IF($A419="","",IF($A419=1,D$29*$F419*($C419-$C$28)/$K$17,
(D419*ROUND(($C419-VLOOKUP($A419-1,$A$28:$C419,3,0))/30,0)/12*$F419)
))</f>
        <v/>
      </c>
      <c r="F419" s="107">
        <f t="shared" si="63"/>
        <v>0.06</v>
      </c>
      <c r="G419" s="795">
        <f t="shared" si="59"/>
        <v>0</v>
      </c>
      <c r="H419" s="795">
        <f t="shared" si="64"/>
        <v>0</v>
      </c>
      <c r="I419" s="795">
        <f t="shared" si="65"/>
        <v>0</v>
      </c>
      <c r="J419" s="795">
        <f t="shared" si="66"/>
        <v>0</v>
      </c>
      <c r="K419" s="108">
        <f t="shared" si="60"/>
        <v>2047</v>
      </c>
      <c r="L419" s="92" t="str">
        <f t="shared" si="61"/>
        <v/>
      </c>
    </row>
    <row r="420" spans="1:12" ht="12.75" customHeight="1">
      <c r="A420" s="90" t="str">
        <f>IF(B420&lt;&gt;"",MAX(A$28:A419)+1,IF(ISNA(HLOOKUP(DATE(YEAR($C$21),MONTH(C420),DAY(C420)),$C$21:$N$21,1,0)),"",MAX(A$28:A419)+1))</f>
        <v/>
      </c>
      <c r="B420" s="91" t="str">
        <f>IF(C420&lt;$K$16,"",IF(ISNA(HLOOKUP(DATE(YEAR($C$20),MONTH($C420),DAY($C420)),$C$20:$N$20,1,0)),"",MAX(B$28:B419)+1))</f>
        <v/>
      </c>
      <c r="C420" s="106">
        <f t="shared" si="67"/>
        <v>53935</v>
      </c>
      <c r="D420" s="795">
        <f t="shared" si="62"/>
        <v>0</v>
      </c>
      <c r="E420" s="795" t="str">
        <f>IF($A420="","",IF($A420=1,D$29*$F420*($C420-$C$28)/$K$17,
(D420*ROUND(($C420-VLOOKUP($A420-1,$A$28:$C420,3,0))/30,0)/12*$F420)
))</f>
        <v/>
      </c>
      <c r="F420" s="107">
        <f t="shared" si="63"/>
        <v>0.06</v>
      </c>
      <c r="G420" s="795">
        <f t="shared" si="59"/>
        <v>0</v>
      </c>
      <c r="H420" s="795">
        <f t="shared" si="64"/>
        <v>0</v>
      </c>
      <c r="I420" s="795">
        <f t="shared" si="65"/>
        <v>0</v>
      </c>
      <c r="J420" s="795">
        <f t="shared" si="66"/>
        <v>0</v>
      </c>
      <c r="K420" s="108">
        <f t="shared" si="60"/>
        <v>2047</v>
      </c>
      <c r="L420" s="92" t="str">
        <f t="shared" si="61"/>
        <v/>
      </c>
    </row>
    <row r="421" spans="1:12" ht="12.75" customHeight="1">
      <c r="A421" s="90">
        <f>IF(B421&lt;&gt;"",MAX(A$28:A420)+1,IF(ISNA(HLOOKUP(DATE(YEAR($C$21),MONTH(C421),DAY(C421)),$C$21:$N$21,1,0)),"",MAX(A$28:A420)+1))</f>
        <v>131</v>
      </c>
      <c r="B421" s="91">
        <f>IF(C421&lt;$K$16,"",IF(ISNA(HLOOKUP(DATE(YEAR($C$20),MONTH($C421),DAY($C421)),$C$20:$N$20,1,0)),"",MAX(B$28:B420)+1))</f>
        <v>119</v>
      </c>
      <c r="C421" s="106">
        <f t="shared" si="67"/>
        <v>53965</v>
      </c>
      <c r="D421" s="795">
        <f t="shared" si="62"/>
        <v>0</v>
      </c>
      <c r="E421" s="795">
        <f>IF($A421="","",IF($A421=1,D$29*$F421*($C421-$C$28)/$K$17,
(D421*ROUND(($C421-VLOOKUP($A421-1,$A$28:$C421,3,0))/30,0)/12*$F421)
))</f>
        <v>0</v>
      </c>
      <c r="F421" s="107">
        <f t="shared" si="63"/>
        <v>0.06</v>
      </c>
      <c r="G421" s="795">
        <f t="shared" si="59"/>
        <v>0</v>
      </c>
      <c r="H421" s="795">
        <f t="shared" si="64"/>
        <v>0</v>
      </c>
      <c r="I421" s="795">
        <f t="shared" si="65"/>
        <v>0</v>
      </c>
      <c r="J421" s="795">
        <f t="shared" si="66"/>
        <v>0</v>
      </c>
      <c r="K421" s="108">
        <f t="shared" si="60"/>
        <v>2047</v>
      </c>
      <c r="L421" s="92" t="str">
        <f t="shared" si="61"/>
        <v/>
      </c>
    </row>
    <row r="422" spans="1:12" ht="12.75" customHeight="1">
      <c r="A422" s="90" t="str">
        <f>IF(B422&lt;&gt;"",MAX(A$28:A421)+1,IF(ISNA(HLOOKUP(DATE(YEAR($C$21),MONTH(C422),DAY(C422)),$C$21:$N$21,1,0)),"",MAX(A$28:A421)+1))</f>
        <v/>
      </c>
      <c r="B422" s="91" t="str">
        <f>IF(C422&lt;$K$16,"",IF(ISNA(HLOOKUP(DATE(YEAR($C$20),MONTH($C422),DAY($C422)),$C$20:$N$20,1,0)),"",MAX(B$28:B421)+1))</f>
        <v/>
      </c>
      <c r="C422" s="106">
        <f t="shared" si="67"/>
        <v>53996</v>
      </c>
      <c r="D422" s="795">
        <f t="shared" si="62"/>
        <v>0</v>
      </c>
      <c r="E422" s="795" t="str">
        <f>IF($A422="","",IF($A422=1,D$29*$F422*($C422-$C$28)/$K$17,
(D422*ROUND(($C422-VLOOKUP($A422-1,$A$28:$C422,3,0))/30,0)/12*$F422)
))</f>
        <v/>
      </c>
      <c r="F422" s="107">
        <f t="shared" si="63"/>
        <v>0.06</v>
      </c>
      <c r="G422" s="795">
        <f t="shared" si="59"/>
        <v>0</v>
      </c>
      <c r="H422" s="795">
        <f t="shared" si="64"/>
        <v>0</v>
      </c>
      <c r="I422" s="795">
        <f t="shared" si="65"/>
        <v>0</v>
      </c>
      <c r="J422" s="795">
        <f t="shared" si="66"/>
        <v>0</v>
      </c>
      <c r="K422" s="108">
        <f t="shared" si="60"/>
        <v>2047</v>
      </c>
      <c r="L422" s="92" t="str">
        <f t="shared" si="61"/>
        <v/>
      </c>
    </row>
    <row r="423" spans="1:12" ht="12.75" customHeight="1">
      <c r="A423" s="90" t="str">
        <f>IF(B423&lt;&gt;"",MAX(A$28:A422)+1,IF(ISNA(HLOOKUP(DATE(YEAR($C$21),MONTH(C423),DAY(C423)),$C$21:$N$21,1,0)),"",MAX(A$28:A422)+1))</f>
        <v/>
      </c>
      <c r="B423" s="91" t="str">
        <f>IF(C423&lt;$K$16,"",IF(ISNA(HLOOKUP(DATE(YEAR($C$20),MONTH($C423),DAY($C423)),$C$20:$N$20,1,0)),"",MAX(B$28:B422)+1))</f>
        <v/>
      </c>
      <c r="C423" s="106">
        <f t="shared" si="67"/>
        <v>54026</v>
      </c>
      <c r="D423" s="795">
        <f t="shared" si="62"/>
        <v>0</v>
      </c>
      <c r="E423" s="795" t="str">
        <f>IF($A423="","",IF($A423=1,D$29*$F423*($C423-$C$28)/$K$17,
(D423*ROUND(($C423-VLOOKUP($A423-1,$A$28:$C423,3,0))/30,0)/12*$F423)
))</f>
        <v/>
      </c>
      <c r="F423" s="107">
        <f t="shared" si="63"/>
        <v>0.06</v>
      </c>
      <c r="G423" s="795">
        <f t="shared" si="59"/>
        <v>0</v>
      </c>
      <c r="H423" s="795">
        <f t="shared" si="64"/>
        <v>0</v>
      </c>
      <c r="I423" s="795">
        <f t="shared" si="65"/>
        <v>0</v>
      </c>
      <c r="J423" s="795">
        <f t="shared" si="66"/>
        <v>0</v>
      </c>
      <c r="K423" s="108">
        <f t="shared" si="60"/>
        <v>2047</v>
      </c>
      <c r="L423" s="92" t="str">
        <f t="shared" si="61"/>
        <v/>
      </c>
    </row>
    <row r="424" spans="1:12" ht="12.75" customHeight="1">
      <c r="A424" s="90">
        <f>IF(B424&lt;&gt;"",MAX(A$28:A423)+1,IF(ISNA(HLOOKUP(DATE(YEAR($C$21),MONTH(C424),DAY(C424)),$C$21:$N$21,1,0)),"",MAX(A$28:A423)+1))</f>
        <v>132</v>
      </c>
      <c r="B424" s="91">
        <f>IF(C424&lt;$K$16,"",IF(ISNA(HLOOKUP(DATE(YEAR($C$20),MONTH($C424),DAY($C424)),$C$20:$N$20,1,0)),"",MAX(B$28:B423)+1))</f>
        <v>120</v>
      </c>
      <c r="C424" s="106">
        <f t="shared" si="67"/>
        <v>54057</v>
      </c>
      <c r="D424" s="795">
        <f t="shared" si="62"/>
        <v>0</v>
      </c>
      <c r="E424" s="795">
        <f>IF($A424="","",IF($A424=1,D$29*$F424*($C424-$C$28)/$K$17,
(D424*ROUND(($C424-VLOOKUP($A424-1,$A$28:$C424,3,0))/30,0)/12*$F424)
))</f>
        <v>0</v>
      </c>
      <c r="F424" s="107">
        <f t="shared" si="63"/>
        <v>0.06</v>
      </c>
      <c r="G424" s="795">
        <f t="shared" si="59"/>
        <v>0</v>
      </c>
      <c r="H424" s="795">
        <f t="shared" si="64"/>
        <v>0</v>
      </c>
      <c r="I424" s="795">
        <f t="shared" si="65"/>
        <v>0</v>
      </c>
      <c r="J424" s="795">
        <f t="shared" si="66"/>
        <v>0</v>
      </c>
      <c r="K424" s="108">
        <f t="shared" si="60"/>
        <v>2047</v>
      </c>
      <c r="L424" s="92" t="str">
        <f t="shared" si="61"/>
        <v/>
      </c>
    </row>
    <row r="425" spans="1:12" ht="12.75" customHeight="1">
      <c r="A425" s="90" t="str">
        <f>IF(B425&lt;&gt;"",MAX(A$28:A424)+1,IF(ISNA(HLOOKUP(DATE(YEAR($C$21),MONTH(C425),DAY(C425)),$C$21:$N$21,1,0)),"",MAX(A$28:A424)+1))</f>
        <v/>
      </c>
      <c r="B425" s="91" t="str">
        <f>IF(C425&lt;$K$16,"",IF(ISNA(HLOOKUP(DATE(YEAR($C$20),MONTH($C425),DAY($C425)),$C$20:$N$20,1,0)),"",MAX(B$28:B424)+1))</f>
        <v/>
      </c>
      <c r="C425" s="106">
        <f t="shared" si="67"/>
        <v>54088</v>
      </c>
      <c r="D425" s="795">
        <f t="shared" si="62"/>
        <v>0</v>
      </c>
      <c r="E425" s="795" t="str">
        <f>IF($A425="","",IF($A425=1,D$29*$F425*($C425-$C$28)/$K$17,
(D425*ROUND(($C425-VLOOKUP($A425-1,$A$28:$C425,3,0))/30,0)/12*$F425)
))</f>
        <v/>
      </c>
      <c r="F425" s="107">
        <f t="shared" si="63"/>
        <v>0.06</v>
      </c>
      <c r="G425" s="795">
        <f t="shared" si="59"/>
        <v>0</v>
      </c>
      <c r="H425" s="795">
        <f t="shared" si="64"/>
        <v>0</v>
      </c>
      <c r="I425" s="795">
        <f t="shared" si="65"/>
        <v>0</v>
      </c>
      <c r="J425" s="795">
        <f t="shared" si="66"/>
        <v>0</v>
      </c>
      <c r="K425" s="108">
        <f t="shared" si="60"/>
        <v>2048</v>
      </c>
      <c r="L425" s="92" t="str">
        <f t="shared" si="61"/>
        <v/>
      </c>
    </row>
    <row r="426" spans="1:12" ht="12.75" customHeight="1">
      <c r="A426" s="90" t="str">
        <f>IF(B426&lt;&gt;"",MAX(A$28:A425)+1,IF(ISNA(HLOOKUP(DATE(YEAR($C$21),MONTH(C426),DAY(C426)),$C$21:$N$21,1,0)),"",MAX(A$28:A425)+1))</f>
        <v/>
      </c>
      <c r="B426" s="91" t="str">
        <f>IF(C426&lt;$K$16,"",IF(ISNA(HLOOKUP(DATE(YEAR($C$20),MONTH($C426),DAY($C426)),$C$20:$N$20,1,0)),"",MAX(B$28:B425)+1))</f>
        <v/>
      </c>
      <c r="C426" s="106">
        <f t="shared" si="67"/>
        <v>54117</v>
      </c>
      <c r="D426" s="795">
        <f t="shared" si="62"/>
        <v>0</v>
      </c>
      <c r="E426" s="795" t="str">
        <f>IF($A426="","",IF($A426=1,D$29*$F426*($C426-$C$28)/$K$17,
(D426*ROUND(($C426-VLOOKUP($A426-1,$A$28:$C426,3,0))/30,0)/12*$F426)
))</f>
        <v/>
      </c>
      <c r="F426" s="107">
        <f t="shared" si="63"/>
        <v>0.06</v>
      </c>
      <c r="G426" s="795">
        <f t="shared" si="59"/>
        <v>0</v>
      </c>
      <c r="H426" s="795">
        <f t="shared" si="64"/>
        <v>0</v>
      </c>
      <c r="I426" s="795">
        <f t="shared" si="65"/>
        <v>0</v>
      </c>
      <c r="J426" s="795">
        <f t="shared" si="66"/>
        <v>0</v>
      </c>
      <c r="K426" s="108">
        <f t="shared" si="60"/>
        <v>2048</v>
      </c>
      <c r="L426" s="92" t="str">
        <f t="shared" si="61"/>
        <v/>
      </c>
    </row>
    <row r="427" spans="1:12" ht="12.75" customHeight="1">
      <c r="A427" s="90">
        <f>IF(B427&lt;&gt;"",MAX(A$28:A426)+1,IF(ISNA(HLOOKUP(DATE(YEAR($C$21),MONTH(C427),DAY(C427)),$C$21:$N$21,1,0)),"",MAX(A$28:A426)+1))</f>
        <v>133</v>
      </c>
      <c r="B427" s="91">
        <f>IF(C427&lt;$K$16,"",IF(ISNA(HLOOKUP(DATE(YEAR($C$20),MONTH($C427),DAY($C427)),$C$20:$N$20,1,0)),"",MAX(B$28:B426)+1))</f>
        <v>121</v>
      </c>
      <c r="C427" s="106">
        <f t="shared" si="67"/>
        <v>54148</v>
      </c>
      <c r="D427" s="795">
        <f t="shared" si="62"/>
        <v>0</v>
      </c>
      <c r="E427" s="795">
        <f>IF($A427="","",IF($A427=1,D$29*$F427*($C427-$C$28)/$K$17,
(D427*ROUND(($C427-VLOOKUP($A427-1,$A$28:$C427,3,0))/30,0)/12*$F427)
))</f>
        <v>0</v>
      </c>
      <c r="F427" s="107">
        <f t="shared" si="63"/>
        <v>0.06</v>
      </c>
      <c r="G427" s="795">
        <f t="shared" si="59"/>
        <v>0</v>
      </c>
      <c r="H427" s="795">
        <f t="shared" si="64"/>
        <v>0</v>
      </c>
      <c r="I427" s="795">
        <f t="shared" si="65"/>
        <v>0</v>
      </c>
      <c r="J427" s="795">
        <f t="shared" si="66"/>
        <v>0</v>
      </c>
      <c r="K427" s="108">
        <f t="shared" si="60"/>
        <v>2048</v>
      </c>
      <c r="L427" s="92" t="str">
        <f t="shared" si="61"/>
        <v/>
      </c>
    </row>
    <row r="428" spans="1:12" ht="12.75" customHeight="1">
      <c r="A428" s="90" t="str">
        <f>IF(B428&lt;&gt;"",MAX(A$28:A427)+1,IF(ISNA(HLOOKUP(DATE(YEAR($C$21),MONTH(C428),DAY(C428)),$C$21:$N$21,1,0)),"",MAX(A$28:A427)+1))</f>
        <v/>
      </c>
      <c r="B428" s="91" t="str">
        <f>IF(C428&lt;$K$16,"",IF(ISNA(HLOOKUP(DATE(YEAR($C$20),MONTH($C428),DAY($C428)),$C$20:$N$20,1,0)),"",MAX(B$28:B427)+1))</f>
        <v/>
      </c>
      <c r="C428" s="106">
        <f t="shared" si="67"/>
        <v>54178</v>
      </c>
      <c r="D428" s="795">
        <f t="shared" si="62"/>
        <v>0</v>
      </c>
      <c r="E428" s="795" t="str">
        <f>IF($A428="","",IF($A428=1,D$29*$F428*($C428-$C$28)/$K$17,
(D428*ROUND(($C428-VLOOKUP($A428-1,$A$28:$C428,3,0))/30,0)/12*$F428)
))</f>
        <v/>
      </c>
      <c r="F428" s="107">
        <f t="shared" si="63"/>
        <v>0.06</v>
      </c>
      <c r="G428" s="795">
        <f t="shared" si="59"/>
        <v>0</v>
      </c>
      <c r="H428" s="795">
        <f t="shared" si="64"/>
        <v>0</v>
      </c>
      <c r="I428" s="795">
        <f t="shared" si="65"/>
        <v>0</v>
      </c>
      <c r="J428" s="795">
        <f t="shared" si="66"/>
        <v>0</v>
      </c>
      <c r="K428" s="108">
        <f t="shared" si="60"/>
        <v>2048</v>
      </c>
      <c r="L428" s="92" t="str">
        <f t="shared" si="61"/>
        <v/>
      </c>
    </row>
    <row r="429" spans="1:12" ht="12.75" customHeight="1">
      <c r="A429" s="90" t="str">
        <f>IF(B429&lt;&gt;"",MAX(A$28:A428)+1,IF(ISNA(HLOOKUP(DATE(YEAR($C$21),MONTH(C429),DAY(C429)),$C$21:$N$21,1,0)),"",MAX(A$28:A428)+1))</f>
        <v/>
      </c>
      <c r="B429" s="91" t="str">
        <f>IF(C429&lt;$K$16,"",IF(ISNA(HLOOKUP(DATE(YEAR($C$20),MONTH($C429),DAY($C429)),$C$20:$N$20,1,0)),"",MAX(B$28:B428)+1))</f>
        <v/>
      </c>
      <c r="C429" s="106">
        <f t="shared" si="67"/>
        <v>54209</v>
      </c>
      <c r="D429" s="795">
        <f t="shared" si="62"/>
        <v>0</v>
      </c>
      <c r="E429" s="795" t="str">
        <f>IF($A429="","",IF($A429=1,D$29*$F429*($C429-$C$28)/$K$17,
(D429*ROUND(($C429-VLOOKUP($A429-1,$A$28:$C429,3,0))/30,0)/12*$F429)
))</f>
        <v/>
      </c>
      <c r="F429" s="107">
        <f t="shared" si="63"/>
        <v>0.06</v>
      </c>
      <c r="G429" s="795">
        <f t="shared" si="59"/>
        <v>0</v>
      </c>
      <c r="H429" s="795">
        <f t="shared" si="64"/>
        <v>0</v>
      </c>
      <c r="I429" s="795">
        <f t="shared" si="65"/>
        <v>0</v>
      </c>
      <c r="J429" s="795">
        <f t="shared" si="66"/>
        <v>0</v>
      </c>
      <c r="K429" s="108">
        <f t="shared" si="60"/>
        <v>2048</v>
      </c>
      <c r="L429" s="92" t="str">
        <f t="shared" si="61"/>
        <v/>
      </c>
    </row>
    <row r="430" spans="1:12" ht="12.75" customHeight="1">
      <c r="A430" s="90">
        <f>IF(B430&lt;&gt;"",MAX(A$28:A429)+1,IF(ISNA(HLOOKUP(DATE(YEAR($C$21),MONTH(C430),DAY(C430)),$C$21:$N$21,1,0)),"",MAX(A$28:A429)+1))</f>
        <v>134</v>
      </c>
      <c r="B430" s="91">
        <f>IF(C430&lt;$K$16,"",IF(ISNA(HLOOKUP(DATE(YEAR($C$20),MONTH($C430),DAY($C430)),$C$20:$N$20,1,0)),"",MAX(B$28:B429)+1))</f>
        <v>122</v>
      </c>
      <c r="C430" s="106">
        <f t="shared" si="67"/>
        <v>54239</v>
      </c>
      <c r="D430" s="795">
        <f t="shared" si="62"/>
        <v>0</v>
      </c>
      <c r="E430" s="795">
        <f>IF($A430="","",IF($A430=1,D$29*$F430*($C430-$C$28)/$K$17,
(D430*ROUND(($C430-VLOOKUP($A430-1,$A$28:$C430,3,0))/30,0)/12*$F430)
))</f>
        <v>0</v>
      </c>
      <c r="F430" s="107">
        <f t="shared" si="63"/>
        <v>0.06</v>
      </c>
      <c r="G430" s="795">
        <f t="shared" si="59"/>
        <v>0</v>
      </c>
      <c r="H430" s="795">
        <f t="shared" si="64"/>
        <v>0</v>
      </c>
      <c r="I430" s="795">
        <f t="shared" si="65"/>
        <v>0</v>
      </c>
      <c r="J430" s="795">
        <f t="shared" si="66"/>
        <v>0</v>
      </c>
      <c r="K430" s="108">
        <f t="shared" si="60"/>
        <v>2048</v>
      </c>
      <c r="L430" s="92" t="str">
        <f t="shared" si="61"/>
        <v/>
      </c>
    </row>
    <row r="431" spans="1:12" ht="12.75" customHeight="1">
      <c r="A431" s="90" t="str">
        <f>IF(B431&lt;&gt;"",MAX(A$28:A430)+1,IF(ISNA(HLOOKUP(DATE(YEAR($C$21),MONTH(C431),DAY(C431)),$C$21:$N$21,1,0)),"",MAX(A$28:A430)+1))</f>
        <v/>
      </c>
      <c r="B431" s="91" t="str">
        <f>IF(C431&lt;$K$16,"",IF(ISNA(HLOOKUP(DATE(YEAR($C$20),MONTH($C431),DAY($C431)),$C$20:$N$20,1,0)),"",MAX(B$28:B430)+1))</f>
        <v/>
      </c>
      <c r="C431" s="106">
        <f t="shared" si="67"/>
        <v>54270</v>
      </c>
      <c r="D431" s="795">
        <f t="shared" si="62"/>
        <v>0</v>
      </c>
      <c r="E431" s="795" t="str">
        <f>IF($A431="","",IF($A431=1,D$29*$F431*($C431-$C$28)/$K$17,
(D431*ROUND(($C431-VLOOKUP($A431-1,$A$28:$C431,3,0))/30,0)/12*$F431)
))</f>
        <v/>
      </c>
      <c r="F431" s="107">
        <f t="shared" si="63"/>
        <v>0.06</v>
      </c>
      <c r="G431" s="795">
        <f t="shared" si="59"/>
        <v>0</v>
      </c>
      <c r="H431" s="795">
        <f t="shared" si="64"/>
        <v>0</v>
      </c>
      <c r="I431" s="795">
        <f t="shared" si="65"/>
        <v>0</v>
      </c>
      <c r="J431" s="795">
        <f t="shared" si="66"/>
        <v>0</v>
      </c>
      <c r="K431" s="108">
        <f t="shared" si="60"/>
        <v>2048</v>
      </c>
      <c r="L431" s="92" t="str">
        <f t="shared" si="61"/>
        <v/>
      </c>
    </row>
    <row r="432" spans="1:12" ht="12.75" customHeight="1">
      <c r="A432" s="90" t="str">
        <f>IF(B432&lt;&gt;"",MAX(A$28:A431)+1,IF(ISNA(HLOOKUP(DATE(YEAR($C$21),MONTH(C432),DAY(C432)),$C$21:$N$21,1,0)),"",MAX(A$28:A431)+1))</f>
        <v/>
      </c>
      <c r="B432" s="91" t="str">
        <f>IF(C432&lt;$K$16,"",IF(ISNA(HLOOKUP(DATE(YEAR($C$20),MONTH($C432),DAY($C432)),$C$20:$N$20,1,0)),"",MAX(B$28:B431)+1))</f>
        <v/>
      </c>
      <c r="C432" s="106">
        <f t="shared" si="67"/>
        <v>54301</v>
      </c>
      <c r="D432" s="795">
        <f t="shared" si="62"/>
        <v>0</v>
      </c>
      <c r="E432" s="795" t="str">
        <f>IF($A432="","",IF($A432=1,D$29*$F432*($C432-$C$28)/$K$17,
(D432*ROUND(($C432-VLOOKUP($A432-1,$A$28:$C432,3,0))/30,0)/12*$F432)
))</f>
        <v/>
      </c>
      <c r="F432" s="107">
        <f t="shared" si="63"/>
        <v>0.06</v>
      </c>
      <c r="G432" s="795">
        <f t="shared" si="59"/>
        <v>0</v>
      </c>
      <c r="H432" s="795">
        <f t="shared" si="64"/>
        <v>0</v>
      </c>
      <c r="I432" s="795">
        <f t="shared" si="65"/>
        <v>0</v>
      </c>
      <c r="J432" s="795">
        <f t="shared" si="66"/>
        <v>0</v>
      </c>
      <c r="K432" s="108">
        <f t="shared" si="60"/>
        <v>2048</v>
      </c>
      <c r="L432" s="92" t="str">
        <f t="shared" si="61"/>
        <v/>
      </c>
    </row>
    <row r="433" spans="1:12" ht="12.75" customHeight="1">
      <c r="A433" s="90">
        <f>IF(B433&lt;&gt;"",MAX(A$28:A432)+1,IF(ISNA(HLOOKUP(DATE(YEAR($C$21),MONTH(C433),DAY(C433)),$C$21:$N$21,1,0)),"",MAX(A$28:A432)+1))</f>
        <v>135</v>
      </c>
      <c r="B433" s="91">
        <f>IF(C433&lt;$K$16,"",IF(ISNA(HLOOKUP(DATE(YEAR($C$20),MONTH($C433),DAY($C433)),$C$20:$N$20,1,0)),"",MAX(B$28:B432)+1))</f>
        <v>123</v>
      </c>
      <c r="C433" s="106">
        <f t="shared" si="67"/>
        <v>54331</v>
      </c>
      <c r="D433" s="795">
        <f t="shared" si="62"/>
        <v>0</v>
      </c>
      <c r="E433" s="795">
        <f>IF($A433="","",IF($A433=1,D$29*$F433*($C433-$C$28)/$K$17,
(D433*ROUND(($C433-VLOOKUP($A433-1,$A$28:$C433,3,0))/30,0)/12*$F433)
))</f>
        <v>0</v>
      </c>
      <c r="F433" s="107">
        <f t="shared" si="63"/>
        <v>0.06</v>
      </c>
      <c r="G433" s="795">
        <f t="shared" si="59"/>
        <v>0</v>
      </c>
      <c r="H433" s="795">
        <f t="shared" si="64"/>
        <v>0</v>
      </c>
      <c r="I433" s="795">
        <f t="shared" si="65"/>
        <v>0</v>
      </c>
      <c r="J433" s="795">
        <f t="shared" si="66"/>
        <v>0</v>
      </c>
      <c r="K433" s="108">
        <f t="shared" si="60"/>
        <v>2048</v>
      </c>
      <c r="L433" s="92" t="str">
        <f t="shared" si="61"/>
        <v/>
      </c>
    </row>
    <row r="434" spans="1:12" ht="12.75" customHeight="1">
      <c r="A434" s="90" t="str">
        <f>IF(B434&lt;&gt;"",MAX(A$28:A433)+1,IF(ISNA(HLOOKUP(DATE(YEAR($C$21),MONTH(C434),DAY(C434)),$C$21:$N$21,1,0)),"",MAX(A$28:A433)+1))</f>
        <v/>
      </c>
      <c r="B434" s="91" t="str">
        <f>IF(C434&lt;$K$16,"",IF(ISNA(HLOOKUP(DATE(YEAR($C$20),MONTH($C434),DAY($C434)),$C$20:$N$20,1,0)),"",MAX(B$28:B433)+1))</f>
        <v/>
      </c>
      <c r="C434" s="106">
        <f t="shared" si="67"/>
        <v>54362</v>
      </c>
      <c r="D434" s="795">
        <f t="shared" si="62"/>
        <v>0</v>
      </c>
      <c r="E434" s="795" t="str">
        <f>IF($A434="","",IF($A434=1,D$29*$F434*($C434-$C$28)/$K$17,
(D434*ROUND(($C434-VLOOKUP($A434-1,$A$28:$C434,3,0))/30,0)/12*$F434)
))</f>
        <v/>
      </c>
      <c r="F434" s="107">
        <f t="shared" si="63"/>
        <v>0.06</v>
      </c>
      <c r="G434" s="795">
        <f t="shared" si="59"/>
        <v>0</v>
      </c>
      <c r="H434" s="795">
        <f t="shared" si="64"/>
        <v>0</v>
      </c>
      <c r="I434" s="795">
        <f t="shared" si="65"/>
        <v>0</v>
      </c>
      <c r="J434" s="795">
        <f t="shared" si="66"/>
        <v>0</v>
      </c>
      <c r="K434" s="108">
        <f t="shared" si="60"/>
        <v>2048</v>
      </c>
      <c r="L434" s="92" t="str">
        <f t="shared" si="61"/>
        <v/>
      </c>
    </row>
    <row r="435" spans="1:12" ht="12.75" customHeight="1">
      <c r="A435" s="90" t="str">
        <f>IF(B435&lt;&gt;"",MAX(A$28:A434)+1,IF(ISNA(HLOOKUP(DATE(YEAR($C$21),MONTH(C435),DAY(C435)),$C$21:$N$21,1,0)),"",MAX(A$28:A434)+1))</f>
        <v/>
      </c>
      <c r="B435" s="91" t="str">
        <f>IF(C435&lt;$K$16,"",IF(ISNA(HLOOKUP(DATE(YEAR($C$20),MONTH($C435),DAY($C435)),$C$20:$N$20,1,0)),"",MAX(B$28:B434)+1))</f>
        <v/>
      </c>
      <c r="C435" s="106">
        <f t="shared" si="67"/>
        <v>54392</v>
      </c>
      <c r="D435" s="795">
        <f t="shared" si="62"/>
        <v>0</v>
      </c>
      <c r="E435" s="795" t="str">
        <f>IF($A435="","",IF($A435=1,D$29*$F435*($C435-$C$28)/$K$17,
(D435*ROUND(($C435-VLOOKUP($A435-1,$A$28:$C435,3,0))/30,0)/12*$F435)
))</f>
        <v/>
      </c>
      <c r="F435" s="107">
        <f t="shared" si="63"/>
        <v>0.06</v>
      </c>
      <c r="G435" s="795">
        <f t="shared" si="59"/>
        <v>0</v>
      </c>
      <c r="H435" s="795">
        <f t="shared" si="64"/>
        <v>0</v>
      </c>
      <c r="I435" s="795">
        <f t="shared" si="65"/>
        <v>0</v>
      </c>
      <c r="J435" s="795">
        <f t="shared" si="66"/>
        <v>0</v>
      </c>
      <c r="K435" s="108">
        <f t="shared" si="60"/>
        <v>2048</v>
      </c>
      <c r="L435" s="92" t="str">
        <f t="shared" si="61"/>
        <v/>
      </c>
    </row>
    <row r="436" spans="1:12" ht="12.75" customHeight="1">
      <c r="A436" s="90">
        <f>IF(B436&lt;&gt;"",MAX(A$28:A435)+1,IF(ISNA(HLOOKUP(DATE(YEAR($C$21),MONTH(C436),DAY(C436)),$C$21:$N$21,1,0)),"",MAX(A$28:A435)+1))</f>
        <v>136</v>
      </c>
      <c r="B436" s="91">
        <f>IF(C436&lt;$K$16,"",IF(ISNA(HLOOKUP(DATE(YEAR($C$20),MONTH($C436),DAY($C436)),$C$20:$N$20,1,0)),"",MAX(B$28:B435)+1))</f>
        <v>124</v>
      </c>
      <c r="C436" s="106">
        <f t="shared" si="67"/>
        <v>54423</v>
      </c>
      <c r="D436" s="795">
        <f t="shared" si="62"/>
        <v>0</v>
      </c>
      <c r="E436" s="795">
        <f>IF($A436="","",IF($A436=1,D$29*$F436*($C436-$C$28)/$K$17,
(D436*ROUND(($C436-VLOOKUP($A436-1,$A$28:$C436,3,0))/30,0)/12*$F436)
))</f>
        <v>0</v>
      </c>
      <c r="F436" s="107">
        <f t="shared" si="63"/>
        <v>0.06</v>
      </c>
      <c r="G436" s="795">
        <f t="shared" si="59"/>
        <v>0</v>
      </c>
      <c r="H436" s="795">
        <f t="shared" si="64"/>
        <v>0</v>
      </c>
      <c r="I436" s="795">
        <f t="shared" si="65"/>
        <v>0</v>
      </c>
      <c r="J436" s="795">
        <f t="shared" si="66"/>
        <v>0</v>
      </c>
      <c r="K436" s="108">
        <f t="shared" si="60"/>
        <v>2048</v>
      </c>
      <c r="L436" s="92" t="str">
        <f t="shared" si="61"/>
        <v/>
      </c>
    </row>
    <row r="437" spans="1:12" ht="12.75" customHeight="1">
      <c r="A437" s="90" t="str">
        <f>IF(B437&lt;&gt;"",MAX(A$28:A436)+1,IF(ISNA(HLOOKUP(DATE(YEAR($C$21),MONTH(C437),DAY(C437)),$C$21:$N$21,1,0)),"",MAX(A$28:A436)+1))</f>
        <v/>
      </c>
      <c r="B437" s="91" t="str">
        <f>IF(C437&lt;$K$16,"",IF(ISNA(HLOOKUP(DATE(YEAR($C$20),MONTH($C437),DAY($C437)),$C$20:$N$20,1,0)),"",MAX(B$28:B436)+1))</f>
        <v/>
      </c>
      <c r="C437" s="106">
        <f t="shared" si="67"/>
        <v>54454</v>
      </c>
      <c r="D437" s="795">
        <f t="shared" si="62"/>
        <v>0</v>
      </c>
      <c r="E437" s="795" t="str">
        <f>IF($A437="","",IF($A437=1,D$29*$F437*($C437-$C$28)/$K$17,
(D437*ROUND(($C437-VLOOKUP($A437-1,$A$28:$C437,3,0))/30,0)/12*$F437)
))</f>
        <v/>
      </c>
      <c r="F437" s="107">
        <f t="shared" si="63"/>
        <v>0.06</v>
      </c>
      <c r="G437" s="795">
        <f t="shared" si="59"/>
        <v>0</v>
      </c>
      <c r="H437" s="795">
        <f t="shared" si="64"/>
        <v>0</v>
      </c>
      <c r="I437" s="795">
        <f t="shared" si="65"/>
        <v>0</v>
      </c>
      <c r="J437" s="795">
        <f t="shared" si="66"/>
        <v>0</v>
      </c>
      <c r="K437" s="108">
        <f t="shared" si="60"/>
        <v>2049</v>
      </c>
      <c r="L437" s="92" t="str">
        <f t="shared" si="61"/>
        <v/>
      </c>
    </row>
    <row r="438" spans="1:12" ht="12.75" customHeight="1">
      <c r="A438" s="90" t="str">
        <f>IF(B438&lt;&gt;"",MAX(A$28:A437)+1,IF(ISNA(HLOOKUP(DATE(YEAR($C$21),MONTH(C438),DAY(C438)),$C$21:$N$21,1,0)),"",MAX(A$28:A437)+1))</f>
        <v/>
      </c>
      <c r="B438" s="91" t="str">
        <f>IF(C438&lt;$K$16,"",IF(ISNA(HLOOKUP(DATE(YEAR($C$20),MONTH($C438),DAY($C438)),$C$20:$N$20,1,0)),"",MAX(B$28:B437)+1))</f>
        <v/>
      </c>
      <c r="C438" s="106">
        <f t="shared" si="67"/>
        <v>54482</v>
      </c>
      <c r="D438" s="795">
        <f t="shared" si="62"/>
        <v>0</v>
      </c>
      <c r="E438" s="795" t="str">
        <f>IF($A438="","",IF($A438=1,D$29*$F438*($C438-$C$28)/$K$17,
(D438*ROUND(($C438-VLOOKUP($A438-1,$A$28:$C438,3,0))/30,0)/12*$F438)
))</f>
        <v/>
      </c>
      <c r="F438" s="107">
        <f t="shared" si="63"/>
        <v>0.06</v>
      </c>
      <c r="G438" s="795">
        <f t="shared" si="59"/>
        <v>0</v>
      </c>
      <c r="H438" s="795">
        <f t="shared" si="64"/>
        <v>0</v>
      </c>
      <c r="I438" s="795">
        <f t="shared" si="65"/>
        <v>0</v>
      </c>
      <c r="J438" s="795">
        <f t="shared" si="66"/>
        <v>0</v>
      </c>
      <c r="K438" s="108">
        <f t="shared" si="60"/>
        <v>2049</v>
      </c>
      <c r="L438" s="92" t="str">
        <f t="shared" si="61"/>
        <v/>
      </c>
    </row>
    <row r="439" spans="1:12" ht="12.75" customHeight="1">
      <c r="A439" s="90">
        <f>IF(B439&lt;&gt;"",MAX(A$28:A438)+1,IF(ISNA(HLOOKUP(DATE(YEAR($C$21),MONTH(C439),DAY(C439)),$C$21:$N$21,1,0)),"",MAX(A$28:A438)+1))</f>
        <v>137</v>
      </c>
      <c r="B439" s="91">
        <f>IF(C439&lt;$K$16,"",IF(ISNA(HLOOKUP(DATE(YEAR($C$20),MONTH($C439),DAY($C439)),$C$20:$N$20,1,0)),"",MAX(B$28:B438)+1))</f>
        <v>125</v>
      </c>
      <c r="C439" s="106">
        <f t="shared" si="67"/>
        <v>54513</v>
      </c>
      <c r="D439" s="795">
        <f t="shared" si="62"/>
        <v>0</v>
      </c>
      <c r="E439" s="795">
        <f>IF($A439="","",IF($A439=1,D$29*$F439*($C439-$C$28)/$K$17,
(D439*ROUND(($C439-VLOOKUP($A439-1,$A$28:$C439,3,0))/30,0)/12*$F439)
))</f>
        <v>0</v>
      </c>
      <c r="F439" s="107">
        <f t="shared" si="63"/>
        <v>0.06</v>
      </c>
      <c r="G439" s="795">
        <f t="shared" si="59"/>
        <v>0</v>
      </c>
      <c r="H439" s="795">
        <f t="shared" si="64"/>
        <v>0</v>
      </c>
      <c r="I439" s="795">
        <f t="shared" si="65"/>
        <v>0</v>
      </c>
      <c r="J439" s="795">
        <f t="shared" si="66"/>
        <v>0</v>
      </c>
      <c r="K439" s="108">
        <f t="shared" si="60"/>
        <v>2049</v>
      </c>
      <c r="L439" s="92" t="str">
        <f t="shared" si="61"/>
        <v/>
      </c>
    </row>
    <row r="440" spans="1:12" ht="12.75" customHeight="1">
      <c r="A440" s="90" t="str">
        <f>IF(B440&lt;&gt;"",MAX(A$28:A439)+1,IF(ISNA(HLOOKUP(DATE(YEAR($C$21),MONTH(C440),DAY(C440)),$C$21:$N$21,1,0)),"",MAX(A$28:A439)+1))</f>
        <v/>
      </c>
      <c r="B440" s="91" t="str">
        <f>IF(C440&lt;$K$16,"",IF(ISNA(HLOOKUP(DATE(YEAR($C$20),MONTH($C440),DAY($C440)),$C$20:$N$20,1,0)),"",MAX(B$28:B439)+1))</f>
        <v/>
      </c>
      <c r="C440" s="106">
        <f t="shared" si="67"/>
        <v>54543</v>
      </c>
      <c r="D440" s="795">
        <f t="shared" si="62"/>
        <v>0</v>
      </c>
      <c r="E440" s="795" t="str">
        <f>IF($A440="","",IF($A440=1,D$29*$F440*($C440-$C$28)/$K$17,
(D440*ROUND(($C440-VLOOKUP($A440-1,$A$28:$C440,3,0))/30,0)/12*$F440)
))</f>
        <v/>
      </c>
      <c r="F440" s="107">
        <f t="shared" si="63"/>
        <v>0.06</v>
      </c>
      <c r="G440" s="795">
        <f t="shared" si="59"/>
        <v>0</v>
      </c>
      <c r="H440" s="795">
        <f t="shared" si="64"/>
        <v>0</v>
      </c>
      <c r="I440" s="795">
        <f t="shared" si="65"/>
        <v>0</v>
      </c>
      <c r="J440" s="795">
        <f t="shared" si="66"/>
        <v>0</v>
      </c>
      <c r="K440" s="108">
        <f t="shared" si="60"/>
        <v>2049</v>
      </c>
      <c r="L440" s="92" t="str">
        <f t="shared" si="61"/>
        <v/>
      </c>
    </row>
    <row r="441" spans="1:12" ht="12.75" customHeight="1">
      <c r="A441" s="90" t="str">
        <f>IF(B441&lt;&gt;"",MAX(A$28:A440)+1,IF(ISNA(HLOOKUP(DATE(YEAR($C$21),MONTH(C441),DAY(C441)),$C$21:$N$21,1,0)),"",MAX(A$28:A440)+1))</f>
        <v/>
      </c>
      <c r="B441" s="91" t="str">
        <f>IF(C441&lt;$K$16,"",IF(ISNA(HLOOKUP(DATE(YEAR($C$20),MONTH($C441),DAY($C441)),$C$20:$N$20,1,0)),"",MAX(B$28:B440)+1))</f>
        <v/>
      </c>
      <c r="C441" s="106">
        <f t="shared" si="67"/>
        <v>54574</v>
      </c>
      <c r="D441" s="795">
        <f t="shared" si="62"/>
        <v>0</v>
      </c>
      <c r="E441" s="795" t="str">
        <f>IF($A441="","",IF($A441=1,D$29*$F441*($C441-$C$28)/$K$17,
(D441*ROUND(($C441-VLOOKUP($A441-1,$A$28:$C441,3,0))/30,0)/12*$F441)
))</f>
        <v/>
      </c>
      <c r="F441" s="107">
        <f t="shared" si="63"/>
        <v>0.06</v>
      </c>
      <c r="G441" s="795">
        <f t="shared" si="59"/>
        <v>0</v>
      </c>
      <c r="H441" s="795">
        <f t="shared" si="64"/>
        <v>0</v>
      </c>
      <c r="I441" s="795">
        <f t="shared" si="65"/>
        <v>0</v>
      </c>
      <c r="J441" s="795">
        <f t="shared" si="66"/>
        <v>0</v>
      </c>
      <c r="K441" s="108">
        <f t="shared" si="60"/>
        <v>2049</v>
      </c>
      <c r="L441" s="92" t="str">
        <f t="shared" si="61"/>
        <v/>
      </c>
    </row>
    <row r="442" spans="1:12" ht="12.75" customHeight="1">
      <c r="A442" s="90">
        <f>IF(B442&lt;&gt;"",MAX(A$28:A441)+1,IF(ISNA(HLOOKUP(DATE(YEAR($C$21),MONTH(C442),DAY(C442)),$C$21:$N$21,1,0)),"",MAX(A$28:A441)+1))</f>
        <v>138</v>
      </c>
      <c r="B442" s="91">
        <f>IF(C442&lt;$K$16,"",IF(ISNA(HLOOKUP(DATE(YEAR($C$20),MONTH($C442),DAY($C442)),$C$20:$N$20,1,0)),"",MAX(B$28:B441)+1))</f>
        <v>126</v>
      </c>
      <c r="C442" s="106">
        <f t="shared" si="67"/>
        <v>54604</v>
      </c>
      <c r="D442" s="795">
        <f t="shared" si="62"/>
        <v>0</v>
      </c>
      <c r="E442" s="795">
        <f>IF($A442="","",IF($A442=1,D$29*$F442*($C442-$C$28)/$K$17,
(D442*ROUND(($C442-VLOOKUP($A442-1,$A$28:$C442,3,0))/30,0)/12*$F442)
))</f>
        <v>0</v>
      </c>
      <c r="F442" s="107">
        <f t="shared" si="63"/>
        <v>0.06</v>
      </c>
      <c r="G442" s="795">
        <f t="shared" si="59"/>
        <v>0</v>
      </c>
      <c r="H442" s="795">
        <f t="shared" si="64"/>
        <v>0</v>
      </c>
      <c r="I442" s="795">
        <f t="shared" si="65"/>
        <v>0</v>
      </c>
      <c r="J442" s="795">
        <f t="shared" si="66"/>
        <v>0</v>
      </c>
      <c r="K442" s="108">
        <f t="shared" si="60"/>
        <v>2049</v>
      </c>
      <c r="L442" s="92" t="str">
        <f t="shared" si="61"/>
        <v/>
      </c>
    </row>
    <row r="443" spans="1:12" ht="12.75" customHeight="1">
      <c r="A443" s="90" t="str">
        <f>IF(B443&lt;&gt;"",MAX(A$28:A442)+1,IF(ISNA(HLOOKUP(DATE(YEAR($C$21),MONTH(C443),DAY(C443)),$C$21:$N$21,1,0)),"",MAX(A$28:A442)+1))</f>
        <v/>
      </c>
      <c r="B443" s="91" t="str">
        <f>IF(C443&lt;$K$16,"",IF(ISNA(HLOOKUP(DATE(YEAR($C$20),MONTH($C443),DAY($C443)),$C$20:$N$20,1,0)),"",MAX(B$28:B442)+1))</f>
        <v/>
      </c>
      <c r="C443" s="106">
        <f t="shared" si="67"/>
        <v>54635</v>
      </c>
      <c r="D443" s="795">
        <f t="shared" si="62"/>
        <v>0</v>
      </c>
      <c r="E443" s="795" t="str">
        <f>IF($A443="","",IF($A443=1,D$29*$F443*($C443-$C$28)/$K$17,
(D443*ROUND(($C443-VLOOKUP($A443-1,$A$28:$C443,3,0))/30,0)/12*$F443)
))</f>
        <v/>
      </c>
      <c r="F443" s="107">
        <f t="shared" si="63"/>
        <v>0.06</v>
      </c>
      <c r="G443" s="795">
        <f t="shared" si="59"/>
        <v>0</v>
      </c>
      <c r="H443" s="795">
        <f t="shared" si="64"/>
        <v>0</v>
      </c>
      <c r="I443" s="795">
        <f t="shared" si="65"/>
        <v>0</v>
      </c>
      <c r="J443" s="795">
        <f t="shared" si="66"/>
        <v>0</v>
      </c>
      <c r="K443" s="108">
        <f t="shared" si="60"/>
        <v>2049</v>
      </c>
      <c r="L443" s="92" t="str">
        <f t="shared" si="61"/>
        <v/>
      </c>
    </row>
    <row r="444" spans="1:12" ht="12.75" customHeight="1">
      <c r="A444" s="90" t="str">
        <f>IF(B444&lt;&gt;"",MAX(A$28:A443)+1,IF(ISNA(HLOOKUP(DATE(YEAR($C$21),MONTH(C444),DAY(C444)),$C$21:$N$21,1,0)),"",MAX(A$28:A443)+1))</f>
        <v/>
      </c>
      <c r="B444" s="91" t="str">
        <f>IF(C444&lt;$K$16,"",IF(ISNA(HLOOKUP(DATE(YEAR($C$20),MONTH($C444),DAY($C444)),$C$20:$N$20,1,0)),"",MAX(B$28:B443)+1))</f>
        <v/>
      </c>
      <c r="C444" s="106">
        <f t="shared" si="67"/>
        <v>54666</v>
      </c>
      <c r="D444" s="795">
        <f t="shared" si="62"/>
        <v>0</v>
      </c>
      <c r="E444" s="795" t="str">
        <f>IF($A444="","",IF($A444=1,D$29*$F444*($C444-$C$28)/$K$17,
(D444*ROUND(($C444-VLOOKUP($A444-1,$A$28:$C444,3,0))/30,0)/12*$F444)
))</f>
        <v/>
      </c>
      <c r="F444" s="107">
        <f t="shared" si="63"/>
        <v>0.06</v>
      </c>
      <c r="G444" s="795">
        <f t="shared" si="59"/>
        <v>0</v>
      </c>
      <c r="H444" s="795">
        <f t="shared" si="64"/>
        <v>0</v>
      </c>
      <c r="I444" s="795">
        <f t="shared" si="65"/>
        <v>0</v>
      </c>
      <c r="J444" s="795">
        <f t="shared" si="66"/>
        <v>0</v>
      </c>
      <c r="K444" s="108">
        <f t="shared" si="60"/>
        <v>2049</v>
      </c>
      <c r="L444" s="92" t="str">
        <f t="shared" si="61"/>
        <v/>
      </c>
    </row>
    <row r="445" spans="1:12" ht="12.75" customHeight="1">
      <c r="A445" s="90">
        <f>IF(B445&lt;&gt;"",MAX(A$28:A444)+1,IF(ISNA(HLOOKUP(DATE(YEAR($C$21),MONTH(C445),DAY(C445)),$C$21:$N$21,1,0)),"",MAX(A$28:A444)+1))</f>
        <v>139</v>
      </c>
      <c r="B445" s="91">
        <f>IF(C445&lt;$K$16,"",IF(ISNA(HLOOKUP(DATE(YEAR($C$20),MONTH($C445),DAY($C445)),$C$20:$N$20,1,0)),"",MAX(B$28:B444)+1))</f>
        <v>127</v>
      </c>
      <c r="C445" s="106">
        <f t="shared" si="67"/>
        <v>54696</v>
      </c>
      <c r="D445" s="795">
        <f t="shared" si="62"/>
        <v>0</v>
      </c>
      <c r="E445" s="795">
        <f>IF($A445="","",IF($A445=1,D$29*$F445*($C445-$C$28)/$K$17,
(D445*ROUND(($C445-VLOOKUP($A445-1,$A$28:$C445,3,0))/30,0)/12*$F445)
))</f>
        <v>0</v>
      </c>
      <c r="F445" s="107">
        <f t="shared" si="63"/>
        <v>0.06</v>
      </c>
      <c r="G445" s="795">
        <f t="shared" si="59"/>
        <v>0</v>
      </c>
      <c r="H445" s="795">
        <f t="shared" si="64"/>
        <v>0</v>
      </c>
      <c r="I445" s="795">
        <f t="shared" si="65"/>
        <v>0</v>
      </c>
      <c r="J445" s="795">
        <f t="shared" si="66"/>
        <v>0</v>
      </c>
      <c r="K445" s="108">
        <f t="shared" si="60"/>
        <v>2049</v>
      </c>
      <c r="L445" s="92" t="str">
        <f t="shared" si="61"/>
        <v/>
      </c>
    </row>
    <row r="446" spans="1:12" ht="12.75" customHeight="1">
      <c r="A446" s="90" t="str">
        <f>IF(B446&lt;&gt;"",MAX(A$28:A445)+1,IF(ISNA(HLOOKUP(DATE(YEAR($C$21),MONTH(C446),DAY(C446)),$C$21:$N$21,1,0)),"",MAX(A$28:A445)+1))</f>
        <v/>
      </c>
      <c r="B446" s="91" t="str">
        <f>IF(C446&lt;$K$16,"",IF(ISNA(HLOOKUP(DATE(YEAR($C$20),MONTH($C446),DAY($C446)),$C$20:$N$20,1,0)),"",MAX(B$28:B445)+1))</f>
        <v/>
      </c>
      <c r="C446" s="106">
        <f t="shared" si="67"/>
        <v>54727</v>
      </c>
      <c r="D446" s="795">
        <f t="shared" si="62"/>
        <v>0</v>
      </c>
      <c r="E446" s="795" t="str">
        <f>IF($A446="","",IF($A446=1,D$29*$F446*($C446-$C$28)/$K$17,
(D446*ROUND(($C446-VLOOKUP($A446-1,$A$28:$C446,3,0))/30,0)/12*$F446)
))</f>
        <v/>
      </c>
      <c r="F446" s="107">
        <f t="shared" si="63"/>
        <v>0.06</v>
      </c>
      <c r="G446" s="795">
        <f t="shared" si="59"/>
        <v>0</v>
      </c>
      <c r="H446" s="795">
        <f t="shared" si="64"/>
        <v>0</v>
      </c>
      <c r="I446" s="795">
        <f t="shared" si="65"/>
        <v>0</v>
      </c>
      <c r="J446" s="795">
        <f t="shared" si="66"/>
        <v>0</v>
      </c>
      <c r="K446" s="108">
        <f t="shared" si="60"/>
        <v>2049</v>
      </c>
      <c r="L446" s="92" t="str">
        <f t="shared" si="61"/>
        <v/>
      </c>
    </row>
    <row r="447" spans="1:12" ht="12.75" customHeight="1">
      <c r="A447" s="90" t="str">
        <f>IF(B447&lt;&gt;"",MAX(A$28:A446)+1,IF(ISNA(HLOOKUP(DATE(YEAR($C$21),MONTH(C447),DAY(C447)),$C$21:$N$21,1,0)),"",MAX(A$28:A446)+1))</f>
        <v/>
      </c>
      <c r="B447" s="91" t="str">
        <f>IF(C447&lt;$K$16,"",IF(ISNA(HLOOKUP(DATE(YEAR($C$20),MONTH($C447),DAY($C447)),$C$20:$N$20,1,0)),"",MAX(B$28:B446)+1))</f>
        <v/>
      </c>
      <c r="C447" s="106">
        <f t="shared" si="67"/>
        <v>54757</v>
      </c>
      <c r="D447" s="795">
        <f t="shared" si="62"/>
        <v>0</v>
      </c>
      <c r="E447" s="795" t="str">
        <f>IF($A447="","",IF($A447=1,D$29*$F447*($C447-$C$28)/$K$17,
(D447*ROUND(($C447-VLOOKUP($A447-1,$A$28:$C447,3,0))/30,0)/12*$F447)
))</f>
        <v/>
      </c>
      <c r="F447" s="107">
        <f t="shared" si="63"/>
        <v>0.06</v>
      </c>
      <c r="G447" s="795">
        <f t="shared" si="59"/>
        <v>0</v>
      </c>
      <c r="H447" s="795">
        <f t="shared" si="64"/>
        <v>0</v>
      </c>
      <c r="I447" s="795">
        <f t="shared" si="65"/>
        <v>0</v>
      </c>
      <c r="J447" s="795">
        <f t="shared" si="66"/>
        <v>0</v>
      </c>
      <c r="K447" s="108">
        <f t="shared" si="60"/>
        <v>2049</v>
      </c>
      <c r="L447" s="92" t="str">
        <f t="shared" si="61"/>
        <v/>
      </c>
    </row>
    <row r="448" spans="1:12" ht="12.75" customHeight="1">
      <c r="A448" s="90">
        <f>IF(B448&lt;&gt;"",MAX(A$28:A447)+1,IF(ISNA(HLOOKUP(DATE(YEAR($C$21),MONTH(C448),DAY(C448)),$C$21:$N$21,1,0)),"",MAX(A$28:A447)+1))</f>
        <v>140</v>
      </c>
      <c r="B448" s="91">
        <f>IF(C448&lt;$K$16,"",IF(ISNA(HLOOKUP(DATE(YEAR($C$20),MONTH($C448),DAY($C448)),$C$20:$N$20,1,0)),"",MAX(B$28:B447)+1))</f>
        <v>128</v>
      </c>
      <c r="C448" s="106">
        <f t="shared" si="67"/>
        <v>54788</v>
      </c>
      <c r="D448" s="795">
        <f t="shared" si="62"/>
        <v>0</v>
      </c>
      <c r="E448" s="795">
        <f>IF($A448="","",IF($A448=1,D$29*$F448*($C448-$C$28)/$K$17,
(D448*ROUND(($C448-VLOOKUP($A448-1,$A$28:$C448,3,0))/30,0)/12*$F448)
))</f>
        <v>0</v>
      </c>
      <c r="F448" s="107">
        <f t="shared" si="63"/>
        <v>0.06</v>
      </c>
      <c r="G448" s="795">
        <f t="shared" si="59"/>
        <v>0</v>
      </c>
      <c r="H448" s="795">
        <f t="shared" si="64"/>
        <v>0</v>
      </c>
      <c r="I448" s="795">
        <f t="shared" si="65"/>
        <v>0</v>
      </c>
      <c r="J448" s="795">
        <f t="shared" si="66"/>
        <v>0</v>
      </c>
      <c r="K448" s="108">
        <f t="shared" si="60"/>
        <v>2049</v>
      </c>
      <c r="L448" s="92" t="str">
        <f t="shared" si="61"/>
        <v/>
      </c>
    </row>
    <row r="449" spans="1:12" ht="12.75" customHeight="1">
      <c r="A449" s="90" t="str">
        <f>IF(B449&lt;&gt;"",MAX(A$28:A448)+1,IF(ISNA(HLOOKUP(DATE(YEAR($C$21),MONTH(C449),DAY(C449)),$C$21:$N$21,1,0)),"",MAX(A$28:A448)+1))</f>
        <v/>
      </c>
      <c r="B449" s="91" t="str">
        <f>IF(C449&lt;$K$16,"",IF(ISNA(HLOOKUP(DATE(YEAR($C$20),MONTH($C449),DAY($C449)),$C$20:$N$20,1,0)),"",MAX(B$28:B448)+1))</f>
        <v/>
      </c>
      <c r="C449" s="106">
        <f t="shared" si="67"/>
        <v>54819</v>
      </c>
      <c r="D449" s="795">
        <f t="shared" si="62"/>
        <v>0</v>
      </c>
      <c r="E449" s="795" t="str">
        <f>IF($A449="","",IF($A449=1,D$29*$F449*($C449-$C$28)/$K$17,
(D449*ROUND(($C449-VLOOKUP($A449-1,$A$28:$C449,3,0))/30,0)/12*$F449)
))</f>
        <v/>
      </c>
      <c r="F449" s="107">
        <f t="shared" si="63"/>
        <v>0.06</v>
      </c>
      <c r="G449" s="795">
        <f t="shared" si="59"/>
        <v>0</v>
      </c>
      <c r="H449" s="795">
        <f t="shared" si="64"/>
        <v>0</v>
      </c>
      <c r="I449" s="795">
        <f t="shared" si="65"/>
        <v>0</v>
      </c>
      <c r="J449" s="795">
        <f t="shared" si="66"/>
        <v>0</v>
      </c>
      <c r="K449" s="108">
        <f t="shared" si="60"/>
        <v>2050</v>
      </c>
      <c r="L449" s="92" t="str">
        <f t="shared" si="61"/>
        <v/>
      </c>
    </row>
    <row r="450" spans="1:12" ht="12.75" customHeight="1">
      <c r="A450" s="90" t="str">
        <f>IF(B450&lt;&gt;"",MAX(A$28:A449)+1,IF(ISNA(HLOOKUP(DATE(YEAR($C$21),MONTH(C450),DAY(C450)),$C$21:$N$21,1,0)),"",MAX(A$28:A449)+1))</f>
        <v/>
      </c>
      <c r="B450" s="91" t="str">
        <f>IF(C450&lt;$K$16,"",IF(ISNA(HLOOKUP(DATE(YEAR($C$20),MONTH($C450),DAY($C450)),$C$20:$N$20,1,0)),"",MAX(B$28:B449)+1))</f>
        <v/>
      </c>
      <c r="C450" s="106">
        <f t="shared" si="67"/>
        <v>54847</v>
      </c>
      <c r="D450" s="795">
        <f t="shared" si="62"/>
        <v>0</v>
      </c>
      <c r="E450" s="795" t="str">
        <f>IF($A450="","",IF($A450=1,D$29*$F450*($C450-$C$28)/$K$17,
(D450*ROUND(($C450-VLOOKUP($A450-1,$A$28:$C450,3,0))/30,0)/12*$F450)
))</f>
        <v/>
      </c>
      <c r="F450" s="107">
        <f t="shared" si="63"/>
        <v>0.06</v>
      </c>
      <c r="G450" s="795">
        <f t="shared" si="59"/>
        <v>0</v>
      </c>
      <c r="H450" s="795">
        <f t="shared" si="64"/>
        <v>0</v>
      </c>
      <c r="I450" s="795">
        <f t="shared" si="65"/>
        <v>0</v>
      </c>
      <c r="J450" s="795">
        <f t="shared" si="66"/>
        <v>0</v>
      </c>
      <c r="K450" s="108">
        <f t="shared" si="60"/>
        <v>2050</v>
      </c>
      <c r="L450" s="92" t="str">
        <f t="shared" si="61"/>
        <v/>
      </c>
    </row>
    <row r="451" spans="1:12" ht="12.75" customHeight="1">
      <c r="A451" s="90">
        <f>IF(B451&lt;&gt;"",MAX(A$28:A450)+1,IF(ISNA(HLOOKUP(DATE(YEAR($C$21),MONTH(C451),DAY(C451)),$C$21:$N$21,1,0)),"",MAX(A$28:A450)+1))</f>
        <v>141</v>
      </c>
      <c r="B451" s="91">
        <f>IF(C451&lt;$K$16,"",IF(ISNA(HLOOKUP(DATE(YEAR($C$20),MONTH($C451),DAY($C451)),$C$20:$N$20,1,0)),"",MAX(B$28:B450)+1))</f>
        <v>129</v>
      </c>
      <c r="C451" s="106">
        <f t="shared" si="67"/>
        <v>54878</v>
      </c>
      <c r="D451" s="795">
        <f t="shared" si="62"/>
        <v>0</v>
      </c>
      <c r="E451" s="795">
        <f>IF($A451="","",IF($A451=1,D$29*$F451*($C451-$C$28)/$K$17,
(D451*ROUND(($C451-VLOOKUP($A451-1,$A$28:$C451,3,0))/30,0)/12*$F451)
))</f>
        <v>0</v>
      </c>
      <c r="F451" s="107">
        <f t="shared" si="63"/>
        <v>0.06</v>
      </c>
      <c r="G451" s="795">
        <f t="shared" si="59"/>
        <v>0</v>
      </c>
      <c r="H451" s="795">
        <f t="shared" si="64"/>
        <v>0</v>
      </c>
      <c r="I451" s="795">
        <f t="shared" si="65"/>
        <v>0</v>
      </c>
      <c r="J451" s="795">
        <f t="shared" si="66"/>
        <v>0</v>
      </c>
      <c r="K451" s="108">
        <f t="shared" si="60"/>
        <v>2050</v>
      </c>
      <c r="L451" s="92" t="str">
        <f t="shared" si="61"/>
        <v/>
      </c>
    </row>
    <row r="452" spans="1:12" ht="12.75" customHeight="1">
      <c r="A452" s="90" t="str">
        <f>IF(B452&lt;&gt;"",MAX(A$28:A451)+1,IF(ISNA(HLOOKUP(DATE(YEAR($C$21),MONTH(C452),DAY(C452)),$C$21:$N$21,1,0)),"",MAX(A$28:A451)+1))</f>
        <v/>
      </c>
      <c r="B452" s="91" t="str">
        <f>IF(C452&lt;$K$16,"",IF(ISNA(HLOOKUP(DATE(YEAR($C$20),MONTH($C452),DAY($C452)),$C$20:$N$20,1,0)),"",MAX(B$28:B451)+1))</f>
        <v/>
      </c>
      <c r="C452" s="106">
        <f t="shared" si="67"/>
        <v>54908</v>
      </c>
      <c r="D452" s="795">
        <f t="shared" si="62"/>
        <v>0</v>
      </c>
      <c r="E452" s="795" t="str">
        <f>IF($A452="","",IF($A452=1,D$29*$F452*($C452-$C$28)/$K$17,
(D452*ROUND(($C452-VLOOKUP($A452-1,$A$28:$C452,3,0))/30,0)/12*$F452)
))</f>
        <v/>
      </c>
      <c r="F452" s="107">
        <f t="shared" si="63"/>
        <v>0.06</v>
      </c>
      <c r="G452" s="795">
        <f t="shared" si="59"/>
        <v>0</v>
      </c>
      <c r="H452" s="795">
        <f t="shared" si="64"/>
        <v>0</v>
      </c>
      <c r="I452" s="795">
        <f t="shared" si="65"/>
        <v>0</v>
      </c>
      <c r="J452" s="795">
        <f t="shared" si="66"/>
        <v>0</v>
      </c>
      <c r="K452" s="108">
        <f t="shared" si="60"/>
        <v>2050</v>
      </c>
      <c r="L452" s="92" t="str">
        <f t="shared" si="61"/>
        <v/>
      </c>
    </row>
    <row r="453" spans="1:12" ht="12.75" customHeight="1">
      <c r="A453" s="90" t="str">
        <f>IF(B453&lt;&gt;"",MAX(A$28:A452)+1,IF(ISNA(HLOOKUP(DATE(YEAR($C$21),MONTH(C453),DAY(C453)),$C$21:$N$21,1,0)),"",MAX(A$28:A452)+1))</f>
        <v/>
      </c>
      <c r="B453" s="91" t="str">
        <f>IF(C453&lt;$K$16,"",IF(ISNA(HLOOKUP(DATE(YEAR($C$20),MONTH($C453),DAY($C453)),$C$20:$N$20,1,0)),"",MAX(B$28:B452)+1))</f>
        <v/>
      </c>
      <c r="C453" s="106">
        <f t="shared" si="67"/>
        <v>54939</v>
      </c>
      <c r="D453" s="795">
        <f t="shared" si="62"/>
        <v>0</v>
      </c>
      <c r="E453" s="795" t="str">
        <f>IF($A453="","",IF($A453=1,D$29*$F453*($C453-$C$28)/$K$17,
(D453*ROUND(($C453-VLOOKUP($A453-1,$A$28:$C453,3,0))/30,0)/12*$F453)
))</f>
        <v/>
      </c>
      <c r="F453" s="107">
        <f t="shared" si="63"/>
        <v>0.06</v>
      </c>
      <c r="G453" s="795">
        <f t="shared" si="59"/>
        <v>0</v>
      </c>
      <c r="H453" s="795">
        <f t="shared" si="64"/>
        <v>0</v>
      </c>
      <c r="I453" s="795">
        <f t="shared" si="65"/>
        <v>0</v>
      </c>
      <c r="J453" s="795">
        <f t="shared" si="66"/>
        <v>0</v>
      </c>
      <c r="K453" s="108">
        <f t="shared" si="60"/>
        <v>2050</v>
      </c>
      <c r="L453" s="92" t="str">
        <f t="shared" si="61"/>
        <v/>
      </c>
    </row>
    <row r="454" spans="1:12" ht="12.75" customHeight="1">
      <c r="A454" s="90">
        <f>IF(B454&lt;&gt;"",MAX(A$28:A453)+1,IF(ISNA(HLOOKUP(DATE(YEAR($C$21),MONTH(C454),DAY(C454)),$C$21:$N$21,1,0)),"",MAX(A$28:A453)+1))</f>
        <v>142</v>
      </c>
      <c r="B454" s="91">
        <f>IF(C454&lt;$K$16,"",IF(ISNA(HLOOKUP(DATE(YEAR($C$20),MONTH($C454),DAY($C454)),$C$20:$N$20,1,0)),"",MAX(B$28:B453)+1))</f>
        <v>130</v>
      </c>
      <c r="C454" s="106">
        <f t="shared" si="67"/>
        <v>54969</v>
      </c>
      <c r="D454" s="795">
        <f t="shared" si="62"/>
        <v>0</v>
      </c>
      <c r="E454" s="795">
        <f>IF($A454="","",IF($A454=1,D$29*$F454*($C454-$C$28)/$K$17,
(D454*ROUND(($C454-VLOOKUP($A454-1,$A$28:$C454,3,0))/30,0)/12*$F454)
))</f>
        <v>0</v>
      </c>
      <c r="F454" s="107">
        <f t="shared" si="63"/>
        <v>0.06</v>
      </c>
      <c r="G454" s="795">
        <f t="shared" si="59"/>
        <v>0</v>
      </c>
      <c r="H454" s="795">
        <f t="shared" si="64"/>
        <v>0</v>
      </c>
      <c r="I454" s="795">
        <f t="shared" si="65"/>
        <v>0</v>
      </c>
      <c r="J454" s="795">
        <f t="shared" si="66"/>
        <v>0</v>
      </c>
      <c r="K454" s="108">
        <f t="shared" si="60"/>
        <v>2050</v>
      </c>
      <c r="L454" s="92" t="str">
        <f t="shared" si="61"/>
        <v/>
      </c>
    </row>
    <row r="455" spans="1:12" ht="12.75" customHeight="1">
      <c r="A455" s="90" t="str">
        <f>IF(B455&lt;&gt;"",MAX(A$28:A454)+1,IF(ISNA(HLOOKUP(DATE(YEAR($C$21),MONTH(C455),DAY(C455)),$C$21:$N$21,1,0)),"",MAX(A$28:A454)+1))</f>
        <v/>
      </c>
      <c r="B455" s="91" t="str">
        <f>IF(C455&lt;$K$16,"",IF(ISNA(HLOOKUP(DATE(YEAR($C$20),MONTH($C455),DAY($C455)),$C$20:$N$20,1,0)),"",MAX(B$28:B454)+1))</f>
        <v/>
      </c>
      <c r="C455" s="106">
        <f t="shared" si="67"/>
        <v>55000</v>
      </c>
      <c r="D455" s="795">
        <f t="shared" si="62"/>
        <v>0</v>
      </c>
      <c r="E455" s="795" t="str">
        <f>IF($A455="","",IF($A455=1,D$29*$F455*($C455-$C$28)/$K$17,
(D455*ROUND(($C455-VLOOKUP($A455-1,$A$28:$C455,3,0))/30,0)/12*$F455)
))</f>
        <v/>
      </c>
      <c r="F455" s="107">
        <f t="shared" si="63"/>
        <v>0.06</v>
      </c>
      <c r="G455" s="795">
        <f t="shared" si="59"/>
        <v>0</v>
      </c>
      <c r="H455" s="795">
        <f t="shared" si="64"/>
        <v>0</v>
      </c>
      <c r="I455" s="795">
        <f t="shared" si="65"/>
        <v>0</v>
      </c>
      <c r="J455" s="795">
        <f t="shared" si="66"/>
        <v>0</v>
      </c>
      <c r="K455" s="108">
        <f t="shared" si="60"/>
        <v>2050</v>
      </c>
      <c r="L455" s="92" t="str">
        <f t="shared" si="61"/>
        <v/>
      </c>
    </row>
    <row r="456" spans="1:12" ht="12.75" customHeight="1">
      <c r="A456" s="90" t="str">
        <f>IF(B456&lt;&gt;"",MAX(A$28:A455)+1,IF(ISNA(HLOOKUP(DATE(YEAR($C$21),MONTH(C456),DAY(C456)),$C$21:$N$21,1,0)),"",MAX(A$28:A455)+1))</f>
        <v/>
      </c>
      <c r="B456" s="91" t="str">
        <f>IF(C456&lt;$K$16,"",IF(ISNA(HLOOKUP(DATE(YEAR($C$20),MONTH($C456),DAY($C456)),$C$20:$N$20,1,0)),"",MAX(B$28:B455)+1))</f>
        <v/>
      </c>
      <c r="C456" s="106">
        <f t="shared" si="67"/>
        <v>55031</v>
      </c>
      <c r="D456" s="795">
        <f t="shared" si="62"/>
        <v>0</v>
      </c>
      <c r="E456" s="795" t="str">
        <f>IF($A456="","",IF($A456=1,D$29*$F456*($C456-$C$28)/$K$17,
(D456*ROUND(($C456-VLOOKUP($A456-1,$A$28:$C456,3,0))/30,0)/12*$F456)
))</f>
        <v/>
      </c>
      <c r="F456" s="107">
        <f t="shared" si="63"/>
        <v>0.06</v>
      </c>
      <c r="G456" s="795">
        <f t="shared" si="59"/>
        <v>0</v>
      </c>
      <c r="H456" s="795">
        <f t="shared" si="64"/>
        <v>0</v>
      </c>
      <c r="I456" s="795">
        <f t="shared" si="65"/>
        <v>0</v>
      </c>
      <c r="J456" s="795">
        <f t="shared" si="66"/>
        <v>0</v>
      </c>
      <c r="K456" s="108">
        <f t="shared" si="60"/>
        <v>2050</v>
      </c>
      <c r="L456" s="92" t="str">
        <f t="shared" si="61"/>
        <v/>
      </c>
    </row>
    <row r="457" spans="1:12" ht="12.75" customHeight="1">
      <c r="A457" s="90">
        <f>IF(B457&lt;&gt;"",MAX(A$28:A456)+1,IF(ISNA(HLOOKUP(DATE(YEAR($C$21),MONTH(C457),DAY(C457)),$C$21:$N$21,1,0)),"",MAX(A$28:A456)+1))</f>
        <v>143</v>
      </c>
      <c r="B457" s="91">
        <f>IF(C457&lt;$K$16,"",IF(ISNA(HLOOKUP(DATE(YEAR($C$20),MONTH($C457),DAY($C457)),$C$20:$N$20,1,0)),"",MAX(B$28:B456)+1))</f>
        <v>131</v>
      </c>
      <c r="C457" s="106">
        <f t="shared" si="67"/>
        <v>55061</v>
      </c>
      <c r="D457" s="795">
        <f t="shared" si="62"/>
        <v>0</v>
      </c>
      <c r="E457" s="795">
        <f>IF($A457="","",IF($A457=1,D$29*$F457*($C457-$C$28)/$K$17,
(D457*ROUND(($C457-VLOOKUP($A457-1,$A$28:$C457,3,0))/30,0)/12*$F457)
))</f>
        <v>0</v>
      </c>
      <c r="F457" s="107">
        <f t="shared" si="63"/>
        <v>0.06</v>
      </c>
      <c r="G457" s="795">
        <f t="shared" si="59"/>
        <v>0</v>
      </c>
      <c r="H457" s="795">
        <f t="shared" si="64"/>
        <v>0</v>
      </c>
      <c r="I457" s="795">
        <f t="shared" si="65"/>
        <v>0</v>
      </c>
      <c r="J457" s="795">
        <f t="shared" si="66"/>
        <v>0</v>
      </c>
      <c r="K457" s="108">
        <f t="shared" si="60"/>
        <v>2050</v>
      </c>
      <c r="L457" s="92" t="str">
        <f t="shared" si="61"/>
        <v/>
      </c>
    </row>
    <row r="458" spans="1:12" ht="12.75" customHeight="1">
      <c r="A458" s="90" t="str">
        <f>IF(B458&lt;&gt;"",MAX(A$28:A457)+1,IF(ISNA(HLOOKUP(DATE(YEAR($C$21),MONTH(C458),DAY(C458)),$C$21:$N$21,1,0)),"",MAX(A$28:A457)+1))</f>
        <v/>
      </c>
      <c r="B458" s="91" t="str">
        <f>IF(C458&lt;$K$16,"",IF(ISNA(HLOOKUP(DATE(YEAR($C$20),MONTH($C458),DAY($C458)),$C$20:$N$20,1,0)),"",MAX(B$28:B457)+1))</f>
        <v/>
      </c>
      <c r="C458" s="106">
        <f t="shared" si="67"/>
        <v>55092</v>
      </c>
      <c r="D458" s="795">
        <f t="shared" si="62"/>
        <v>0</v>
      </c>
      <c r="E458" s="795" t="str">
        <f>IF($A458="","",IF($A458=1,D$29*$F458*($C458-$C$28)/$K$17,
(D458*ROUND(($C458-VLOOKUP($A458-1,$A$28:$C458,3,0))/30,0)/12*$F458)
))</f>
        <v/>
      </c>
      <c r="F458" s="107">
        <f t="shared" si="63"/>
        <v>0.06</v>
      </c>
      <c r="G458" s="795">
        <f t="shared" si="59"/>
        <v>0</v>
      </c>
      <c r="H458" s="795">
        <f t="shared" si="64"/>
        <v>0</v>
      </c>
      <c r="I458" s="795">
        <f t="shared" si="65"/>
        <v>0</v>
      </c>
      <c r="J458" s="795">
        <f t="shared" si="66"/>
        <v>0</v>
      </c>
      <c r="K458" s="108">
        <f t="shared" si="60"/>
        <v>2050</v>
      </c>
      <c r="L458" s="92" t="str">
        <f t="shared" si="61"/>
        <v/>
      </c>
    </row>
    <row r="459" spans="1:12" ht="12.75" customHeight="1">
      <c r="A459" s="90" t="str">
        <f>IF(B459&lt;&gt;"",MAX(A$28:A458)+1,IF(ISNA(HLOOKUP(DATE(YEAR($C$21),MONTH(C459),DAY(C459)),$C$21:$N$21,1,0)),"",MAX(A$28:A458)+1))</f>
        <v/>
      </c>
      <c r="B459" s="91" t="str">
        <f>IF(C459&lt;$K$16,"",IF(ISNA(HLOOKUP(DATE(YEAR($C$20),MONTH($C459),DAY($C459)),$C$20:$N$20,1,0)),"",MAX(B$28:B458)+1))</f>
        <v/>
      </c>
      <c r="C459" s="106">
        <f t="shared" si="67"/>
        <v>55122</v>
      </c>
      <c r="D459" s="795">
        <f t="shared" si="62"/>
        <v>0</v>
      </c>
      <c r="E459" s="795" t="str">
        <f>IF($A459="","",IF($A459=1,D$29*$F459*($C459-$C$28)/$K$17,
(D459*ROUND(($C459-VLOOKUP($A459-1,$A$28:$C459,3,0))/30,0)/12*$F459)
))</f>
        <v/>
      </c>
      <c r="F459" s="107">
        <f t="shared" si="63"/>
        <v>0.06</v>
      </c>
      <c r="G459" s="795">
        <f t="shared" si="59"/>
        <v>0</v>
      </c>
      <c r="H459" s="795">
        <f t="shared" si="64"/>
        <v>0</v>
      </c>
      <c r="I459" s="795">
        <f t="shared" si="65"/>
        <v>0</v>
      </c>
      <c r="J459" s="795">
        <f t="shared" si="66"/>
        <v>0</v>
      </c>
      <c r="K459" s="108">
        <f t="shared" si="60"/>
        <v>2050</v>
      </c>
      <c r="L459" s="92" t="str">
        <f t="shared" si="61"/>
        <v/>
      </c>
    </row>
    <row r="460" spans="1:12" ht="12.75" customHeight="1">
      <c r="A460" s="90">
        <f>IF(B460&lt;&gt;"",MAX(A$28:A459)+1,IF(ISNA(HLOOKUP(DATE(YEAR($C$21),MONTH(C460),DAY(C460)),$C$21:$N$21,1,0)),"",MAX(A$28:A459)+1))</f>
        <v>144</v>
      </c>
      <c r="B460" s="91">
        <f>IF(C460&lt;$K$16,"",IF(ISNA(HLOOKUP(DATE(YEAR($C$20),MONTH($C460),DAY($C460)),$C$20:$N$20,1,0)),"",MAX(B$28:B459)+1))</f>
        <v>132</v>
      </c>
      <c r="C460" s="106">
        <f t="shared" si="67"/>
        <v>55153</v>
      </c>
      <c r="D460" s="795">
        <f t="shared" si="62"/>
        <v>0</v>
      </c>
      <c r="E460" s="795">
        <f>IF($A460="","",IF($A460=1,D$29*$F460*($C460-$C$28)/$K$17,
(D460*ROUND(($C460-VLOOKUP($A460-1,$A$28:$C460,3,0))/30,0)/12*$F460)
))</f>
        <v>0</v>
      </c>
      <c r="F460" s="107">
        <f t="shared" si="63"/>
        <v>0.06</v>
      </c>
      <c r="G460" s="795">
        <f t="shared" si="59"/>
        <v>0</v>
      </c>
      <c r="H460" s="795">
        <f t="shared" si="64"/>
        <v>0</v>
      </c>
      <c r="I460" s="795">
        <f t="shared" si="65"/>
        <v>0</v>
      </c>
      <c r="J460" s="795">
        <f t="shared" si="66"/>
        <v>0</v>
      </c>
      <c r="K460" s="108">
        <f t="shared" si="60"/>
        <v>2050</v>
      </c>
      <c r="L460" s="92" t="str">
        <f t="shared" si="61"/>
        <v/>
      </c>
    </row>
    <row r="461" spans="1:12" ht="12.75" customHeight="1">
      <c r="A461" s="90" t="str">
        <f>IF(B461&lt;&gt;"",MAX(A$28:A460)+1,IF(ISNA(HLOOKUP(DATE(YEAR($C$21),MONTH(C461),DAY(C461)),$C$21:$N$21,1,0)),"",MAX(A$28:A460)+1))</f>
        <v/>
      </c>
      <c r="B461" s="91" t="str">
        <f>IF(C461&lt;$K$16,"",IF(ISNA(HLOOKUP(DATE(YEAR($C$20),MONTH($C461),DAY($C461)),$C$20:$N$20,1,0)),"",MAX(B$28:B460)+1))</f>
        <v/>
      </c>
      <c r="C461" s="106">
        <f t="shared" si="67"/>
        <v>55184</v>
      </c>
      <c r="D461" s="795">
        <f t="shared" si="62"/>
        <v>0</v>
      </c>
      <c r="E461" s="795" t="str">
        <f>IF($A461="","",IF($A461=1,D$29*$F461*($C461-$C$28)/$K$17,
(D461*ROUND(($C461-VLOOKUP($A461-1,$A$28:$C461,3,0))/30,0)/12*$F461)
))</f>
        <v/>
      </c>
      <c r="F461" s="107">
        <f t="shared" si="63"/>
        <v>0.06</v>
      </c>
      <c r="G461" s="795">
        <f t="shared" si="59"/>
        <v>0</v>
      </c>
      <c r="H461" s="795">
        <f t="shared" si="64"/>
        <v>0</v>
      </c>
      <c r="I461" s="795">
        <f t="shared" si="65"/>
        <v>0</v>
      </c>
      <c r="J461" s="795">
        <f t="shared" si="66"/>
        <v>0</v>
      </c>
      <c r="K461" s="108">
        <f t="shared" si="60"/>
        <v>2051</v>
      </c>
      <c r="L461" s="92" t="str">
        <f t="shared" si="61"/>
        <v/>
      </c>
    </row>
    <row r="462" spans="1:12" ht="12.75" customHeight="1">
      <c r="A462" s="90" t="str">
        <f>IF(B462&lt;&gt;"",MAX(A$28:A461)+1,IF(ISNA(HLOOKUP(DATE(YEAR($C$21),MONTH(C462),DAY(C462)),$C$21:$N$21,1,0)),"",MAX(A$28:A461)+1))</f>
        <v/>
      </c>
      <c r="B462" s="91" t="str">
        <f>IF(C462&lt;$K$16,"",IF(ISNA(HLOOKUP(DATE(YEAR($C$20),MONTH($C462),DAY($C462)),$C$20:$N$20,1,0)),"",MAX(B$28:B461)+1))</f>
        <v/>
      </c>
      <c r="C462" s="106">
        <f t="shared" si="67"/>
        <v>55212</v>
      </c>
      <c r="D462" s="795">
        <f t="shared" si="62"/>
        <v>0</v>
      </c>
      <c r="E462" s="795" t="str">
        <f>IF($A462="","",IF($A462=1,D$29*$F462*($C462-$C$28)/$K$17,
(D462*ROUND(($C462-VLOOKUP($A462-1,$A$28:$C462,3,0))/30,0)/12*$F462)
))</f>
        <v/>
      </c>
      <c r="F462" s="107">
        <f t="shared" si="63"/>
        <v>0.06</v>
      </c>
      <c r="G462" s="795">
        <f t="shared" si="59"/>
        <v>0</v>
      </c>
      <c r="H462" s="795">
        <f t="shared" si="64"/>
        <v>0</v>
      </c>
      <c r="I462" s="795">
        <f t="shared" si="65"/>
        <v>0</v>
      </c>
      <c r="J462" s="795">
        <f t="shared" si="66"/>
        <v>0</v>
      </c>
      <c r="K462" s="108">
        <f t="shared" si="60"/>
        <v>2051</v>
      </c>
      <c r="L462" s="92" t="str">
        <f t="shared" si="61"/>
        <v/>
      </c>
    </row>
    <row r="463" spans="1:12" ht="12.75" customHeight="1">
      <c r="A463" s="90">
        <f>IF(B463&lt;&gt;"",MAX(A$28:A462)+1,IF(ISNA(HLOOKUP(DATE(YEAR($C$21),MONTH(C463),DAY(C463)),$C$21:$N$21,1,0)),"",MAX(A$28:A462)+1))</f>
        <v>145</v>
      </c>
      <c r="B463" s="91">
        <f>IF(C463&lt;$K$16,"",IF(ISNA(HLOOKUP(DATE(YEAR($C$20),MONTH($C463),DAY($C463)),$C$20:$N$20,1,0)),"",MAX(B$28:B462)+1))</f>
        <v>133</v>
      </c>
      <c r="C463" s="106">
        <f t="shared" si="67"/>
        <v>55243</v>
      </c>
      <c r="D463" s="795">
        <f t="shared" si="62"/>
        <v>0</v>
      </c>
      <c r="E463" s="795">
        <f>IF($A463="","",IF($A463=1,D$29*$F463*($C463-$C$28)/$K$17,
(D463*ROUND(($C463-VLOOKUP($A463-1,$A$28:$C463,3,0))/30,0)/12*$F463)
))</f>
        <v>0</v>
      </c>
      <c r="F463" s="107">
        <f t="shared" si="63"/>
        <v>0.06</v>
      </c>
      <c r="G463" s="795">
        <f t="shared" si="59"/>
        <v>0</v>
      </c>
      <c r="H463" s="795">
        <f t="shared" si="64"/>
        <v>0</v>
      </c>
      <c r="I463" s="795">
        <f t="shared" si="65"/>
        <v>0</v>
      </c>
      <c r="J463" s="795">
        <f t="shared" si="66"/>
        <v>0</v>
      </c>
      <c r="K463" s="108">
        <f t="shared" si="60"/>
        <v>2051</v>
      </c>
      <c r="L463" s="92" t="str">
        <f t="shared" si="61"/>
        <v/>
      </c>
    </row>
    <row r="464" spans="1:12" ht="12.75" customHeight="1">
      <c r="A464" s="90" t="str">
        <f>IF(B464&lt;&gt;"",MAX(A$28:A463)+1,IF(ISNA(HLOOKUP(DATE(YEAR($C$21),MONTH(C464),DAY(C464)),$C$21:$N$21,1,0)),"",MAX(A$28:A463)+1))</f>
        <v/>
      </c>
      <c r="B464" s="91" t="str">
        <f>IF(C464&lt;$K$16,"",IF(ISNA(HLOOKUP(DATE(YEAR($C$20),MONTH($C464),DAY($C464)),$C$20:$N$20,1,0)),"",MAX(B$28:B463)+1))</f>
        <v/>
      </c>
      <c r="C464" s="106">
        <f t="shared" si="67"/>
        <v>55273</v>
      </c>
      <c r="D464" s="795">
        <f t="shared" si="62"/>
        <v>0</v>
      </c>
      <c r="E464" s="795" t="str">
        <f>IF($A464="","",IF($A464=1,D$29*$F464*($C464-$C$28)/$K$17,
(D464*ROUND(($C464-VLOOKUP($A464-1,$A$28:$C464,3,0))/30,0)/12*$F464)
))</f>
        <v/>
      </c>
      <c r="F464" s="107">
        <f t="shared" si="63"/>
        <v>0.06</v>
      </c>
      <c r="G464" s="795">
        <f t="shared" si="59"/>
        <v>0</v>
      </c>
      <c r="H464" s="795">
        <f t="shared" si="64"/>
        <v>0</v>
      </c>
      <c r="I464" s="795">
        <f t="shared" si="65"/>
        <v>0</v>
      </c>
      <c r="J464" s="795">
        <f t="shared" si="66"/>
        <v>0</v>
      </c>
      <c r="K464" s="108">
        <f t="shared" si="60"/>
        <v>2051</v>
      </c>
      <c r="L464" s="92" t="str">
        <f t="shared" si="61"/>
        <v/>
      </c>
    </row>
    <row r="465" spans="1:12" ht="12.75" customHeight="1">
      <c r="A465" s="90" t="str">
        <f>IF(B465&lt;&gt;"",MAX(A$28:A464)+1,IF(ISNA(HLOOKUP(DATE(YEAR($C$21),MONTH(C465),DAY(C465)),$C$21:$N$21,1,0)),"",MAX(A$28:A464)+1))</f>
        <v/>
      </c>
      <c r="B465" s="91" t="str">
        <f>IF(C465&lt;$K$16,"",IF(ISNA(HLOOKUP(DATE(YEAR($C$20),MONTH($C465),DAY($C465)),$C$20:$N$20,1,0)),"",MAX(B$28:B464)+1))</f>
        <v/>
      </c>
      <c r="C465" s="106">
        <f t="shared" si="67"/>
        <v>55304</v>
      </c>
      <c r="D465" s="795">
        <f t="shared" si="62"/>
        <v>0</v>
      </c>
      <c r="E465" s="795" t="str">
        <f>IF($A465="","",IF($A465=1,D$29*$F465*($C465-$C$28)/$K$17,
(D465*ROUND(($C465-VLOOKUP($A465-1,$A$28:$C465,3,0))/30,0)/12*$F465)
))</f>
        <v/>
      </c>
      <c r="F465" s="107">
        <f t="shared" si="63"/>
        <v>0.06</v>
      </c>
      <c r="G465" s="795">
        <f t="shared" si="59"/>
        <v>0</v>
      </c>
      <c r="H465" s="795">
        <f t="shared" si="64"/>
        <v>0</v>
      </c>
      <c r="I465" s="795">
        <f t="shared" si="65"/>
        <v>0</v>
      </c>
      <c r="J465" s="795">
        <f t="shared" si="66"/>
        <v>0</v>
      </c>
      <c r="K465" s="108">
        <f t="shared" si="60"/>
        <v>2051</v>
      </c>
      <c r="L465" s="92" t="str">
        <f t="shared" si="61"/>
        <v/>
      </c>
    </row>
    <row r="466" spans="1:12" ht="12.75" customHeight="1">
      <c r="A466" s="90">
        <f>IF(B466&lt;&gt;"",MAX(A$28:A465)+1,IF(ISNA(HLOOKUP(DATE(YEAR($C$21),MONTH(C466),DAY(C466)),$C$21:$N$21,1,0)),"",MAX(A$28:A465)+1))</f>
        <v>146</v>
      </c>
      <c r="B466" s="91">
        <f>IF(C466&lt;$K$16,"",IF(ISNA(HLOOKUP(DATE(YEAR($C$20),MONTH($C466),DAY($C466)),$C$20:$N$20,1,0)),"",MAX(B$28:B465)+1))</f>
        <v>134</v>
      </c>
      <c r="C466" s="106">
        <f t="shared" si="67"/>
        <v>55334</v>
      </c>
      <c r="D466" s="795">
        <f t="shared" si="62"/>
        <v>0</v>
      </c>
      <c r="E466" s="795">
        <f>IF($A466="","",IF($A466=1,D$29*$F466*($C466-$C$28)/$K$17,
(D466*ROUND(($C466-VLOOKUP($A466-1,$A$28:$C466,3,0))/30,0)/12*$F466)
))</f>
        <v>0</v>
      </c>
      <c r="F466" s="107">
        <f t="shared" si="63"/>
        <v>0.06</v>
      </c>
      <c r="G466" s="795">
        <f t="shared" si="59"/>
        <v>0</v>
      </c>
      <c r="H466" s="795">
        <f t="shared" si="64"/>
        <v>0</v>
      </c>
      <c r="I466" s="795">
        <f t="shared" si="65"/>
        <v>0</v>
      </c>
      <c r="J466" s="795">
        <f t="shared" si="66"/>
        <v>0</v>
      </c>
      <c r="K466" s="108">
        <f t="shared" si="60"/>
        <v>2051</v>
      </c>
      <c r="L466" s="92" t="str">
        <f t="shared" si="61"/>
        <v/>
      </c>
    </row>
    <row r="467" spans="1:12" ht="12.75" customHeight="1">
      <c r="A467" s="90" t="str">
        <f>IF(B467&lt;&gt;"",MAX(A$28:A466)+1,IF(ISNA(HLOOKUP(DATE(YEAR($C$21),MONTH(C467),DAY(C467)),$C$21:$N$21,1,0)),"",MAX(A$28:A466)+1))</f>
        <v/>
      </c>
      <c r="B467" s="91" t="str">
        <f>IF(C467&lt;$K$16,"",IF(ISNA(HLOOKUP(DATE(YEAR($C$20),MONTH($C467),DAY($C467)),$C$20:$N$20,1,0)),"",MAX(B$28:B466)+1))</f>
        <v/>
      </c>
      <c r="C467" s="106">
        <f t="shared" si="67"/>
        <v>55365</v>
      </c>
      <c r="D467" s="795">
        <f t="shared" si="62"/>
        <v>0</v>
      </c>
      <c r="E467" s="795" t="str">
        <f>IF($A467="","",IF($A467=1,D$29*$F467*($C467-$C$28)/$K$17,
(D467*ROUND(($C467-VLOOKUP($A467-1,$A$28:$C467,3,0))/30,0)/12*$F467)
))</f>
        <v/>
      </c>
      <c r="F467" s="107">
        <f t="shared" si="63"/>
        <v>0.06</v>
      </c>
      <c r="G467" s="795">
        <f t="shared" si="59"/>
        <v>0</v>
      </c>
      <c r="H467" s="795">
        <f t="shared" si="64"/>
        <v>0</v>
      </c>
      <c r="I467" s="795">
        <f t="shared" si="65"/>
        <v>0</v>
      </c>
      <c r="J467" s="795">
        <f t="shared" si="66"/>
        <v>0</v>
      </c>
      <c r="K467" s="108">
        <f t="shared" si="60"/>
        <v>2051</v>
      </c>
      <c r="L467" s="92" t="str">
        <f t="shared" si="61"/>
        <v/>
      </c>
    </row>
    <row r="468" spans="1:12" ht="12.75" customHeight="1">
      <c r="A468" s="90" t="str">
        <f>IF(B468&lt;&gt;"",MAX(A$28:A467)+1,IF(ISNA(HLOOKUP(DATE(YEAR($C$21),MONTH(C468),DAY(C468)),$C$21:$N$21,1,0)),"",MAX(A$28:A467)+1))</f>
        <v/>
      </c>
      <c r="B468" s="91" t="str">
        <f>IF(C468&lt;$K$16,"",IF(ISNA(HLOOKUP(DATE(YEAR($C$20),MONTH($C468),DAY($C468)),$C$20:$N$20,1,0)),"",MAX(B$28:B467)+1))</f>
        <v/>
      </c>
      <c r="C468" s="106">
        <f t="shared" si="67"/>
        <v>55396</v>
      </c>
      <c r="D468" s="795">
        <f t="shared" si="62"/>
        <v>0</v>
      </c>
      <c r="E468" s="795" t="str">
        <f>IF($A468="","",IF($A468=1,D$29*$F468*($C468-$C$28)/$K$17,
(D468*ROUND(($C468-VLOOKUP($A468-1,$A$28:$C468,3,0))/30,0)/12*$F468)
))</f>
        <v/>
      </c>
      <c r="F468" s="107">
        <f t="shared" si="63"/>
        <v>0.06</v>
      </c>
      <c r="G468" s="795">
        <f t="shared" si="59"/>
        <v>0</v>
      </c>
      <c r="H468" s="795">
        <f t="shared" si="64"/>
        <v>0</v>
      </c>
      <c r="I468" s="795">
        <f t="shared" si="65"/>
        <v>0</v>
      </c>
      <c r="J468" s="795">
        <f t="shared" si="66"/>
        <v>0</v>
      </c>
      <c r="K468" s="108">
        <f t="shared" si="60"/>
        <v>2051</v>
      </c>
      <c r="L468" s="92" t="str">
        <f t="shared" si="61"/>
        <v/>
      </c>
    </row>
    <row r="469" spans="1:12" ht="12.75" customHeight="1">
      <c r="A469" s="90">
        <f>IF(B469&lt;&gt;"",MAX(A$28:A468)+1,IF(ISNA(HLOOKUP(DATE(YEAR($C$21),MONTH(C469),DAY(C469)),$C$21:$N$21,1,0)),"",MAX(A$28:A468)+1))</f>
        <v>147</v>
      </c>
      <c r="B469" s="91">
        <f>IF(C469&lt;$K$16,"",IF(ISNA(HLOOKUP(DATE(YEAR($C$20),MONTH($C469),DAY($C469)),$C$20:$N$20,1,0)),"",MAX(B$28:B468)+1))</f>
        <v>135</v>
      </c>
      <c r="C469" s="106">
        <f t="shared" si="67"/>
        <v>55426</v>
      </c>
      <c r="D469" s="795">
        <f t="shared" si="62"/>
        <v>0</v>
      </c>
      <c r="E469" s="795">
        <f>IF($A469="","",IF($A469=1,D$29*$F469*($C469-$C$28)/$K$17,
(D469*ROUND(($C469-VLOOKUP($A469-1,$A$28:$C469,3,0))/30,0)/12*$F469)
))</f>
        <v>0</v>
      </c>
      <c r="F469" s="107">
        <f t="shared" si="63"/>
        <v>0.06</v>
      </c>
      <c r="G469" s="795">
        <f t="shared" si="59"/>
        <v>0</v>
      </c>
      <c r="H469" s="795">
        <f t="shared" si="64"/>
        <v>0</v>
      </c>
      <c r="I469" s="795">
        <f t="shared" si="65"/>
        <v>0</v>
      </c>
      <c r="J469" s="795">
        <f t="shared" si="66"/>
        <v>0</v>
      </c>
      <c r="K469" s="108">
        <f t="shared" si="60"/>
        <v>2051</v>
      </c>
      <c r="L469" s="92" t="str">
        <f t="shared" si="61"/>
        <v/>
      </c>
    </row>
    <row r="470" spans="1:12" ht="12.75" customHeight="1">
      <c r="A470" s="90" t="str">
        <f>IF(B470&lt;&gt;"",MAX(A$28:A469)+1,IF(ISNA(HLOOKUP(DATE(YEAR($C$21),MONTH(C470),DAY(C470)),$C$21:$N$21,1,0)),"",MAX(A$28:A469)+1))</f>
        <v/>
      </c>
      <c r="B470" s="91" t="str">
        <f>IF(C470&lt;$K$16,"",IF(ISNA(HLOOKUP(DATE(YEAR($C$20),MONTH($C470),DAY($C470)),$C$20:$N$20,1,0)),"",MAX(B$28:B469)+1))</f>
        <v/>
      </c>
      <c r="C470" s="106">
        <f t="shared" si="67"/>
        <v>55457</v>
      </c>
      <c r="D470" s="795">
        <f t="shared" si="62"/>
        <v>0</v>
      </c>
      <c r="E470" s="795" t="str">
        <f>IF($A470="","",IF($A470=1,D$29*$F470*($C470-$C$28)/$K$17,
(D470*ROUND(($C470-VLOOKUP($A470-1,$A$28:$C470,3,0))/30,0)/12*$F470)
))</f>
        <v/>
      </c>
      <c r="F470" s="107">
        <f t="shared" si="63"/>
        <v>0.06</v>
      </c>
      <c r="G470" s="795">
        <f t="shared" si="59"/>
        <v>0</v>
      </c>
      <c r="H470" s="795">
        <f t="shared" si="64"/>
        <v>0</v>
      </c>
      <c r="I470" s="795">
        <f t="shared" si="65"/>
        <v>0</v>
      </c>
      <c r="J470" s="795">
        <f t="shared" si="66"/>
        <v>0</v>
      </c>
      <c r="K470" s="108">
        <f t="shared" si="60"/>
        <v>2051</v>
      </c>
      <c r="L470" s="92" t="str">
        <f t="shared" si="61"/>
        <v/>
      </c>
    </row>
    <row r="471" spans="1:12" ht="12.75" customHeight="1">
      <c r="A471" s="90" t="str">
        <f>IF(B471&lt;&gt;"",MAX(A$28:A470)+1,IF(ISNA(HLOOKUP(DATE(YEAR($C$21),MONTH(C471),DAY(C471)),$C$21:$N$21,1,0)),"",MAX(A$28:A470)+1))</f>
        <v/>
      </c>
      <c r="B471" s="91" t="str">
        <f>IF(C471&lt;$K$16,"",IF(ISNA(HLOOKUP(DATE(YEAR($C$20),MONTH($C471),DAY($C471)),$C$20:$N$20,1,0)),"",MAX(B$28:B470)+1))</f>
        <v/>
      </c>
      <c r="C471" s="106">
        <f t="shared" si="67"/>
        <v>55487</v>
      </c>
      <c r="D471" s="795">
        <f t="shared" si="62"/>
        <v>0</v>
      </c>
      <c r="E471" s="795" t="str">
        <f>IF($A471="","",IF($A471=1,D$29*$F471*($C471-$C$28)/$K$17,
(D471*ROUND(($C471-VLOOKUP($A471-1,$A$28:$C471,3,0))/30,0)/12*$F471)
))</f>
        <v/>
      </c>
      <c r="F471" s="107">
        <f t="shared" si="63"/>
        <v>0.06</v>
      </c>
      <c r="G471" s="795">
        <f t="shared" si="59"/>
        <v>0</v>
      </c>
      <c r="H471" s="795">
        <f t="shared" si="64"/>
        <v>0</v>
      </c>
      <c r="I471" s="795">
        <f t="shared" si="65"/>
        <v>0</v>
      </c>
      <c r="J471" s="795">
        <f t="shared" si="66"/>
        <v>0</v>
      </c>
      <c r="K471" s="108">
        <f t="shared" si="60"/>
        <v>2051</v>
      </c>
      <c r="L471" s="92" t="str">
        <f t="shared" si="61"/>
        <v/>
      </c>
    </row>
    <row r="472" spans="1:12" ht="12.75" customHeight="1">
      <c r="A472" s="90">
        <f>IF(B472&lt;&gt;"",MAX(A$28:A471)+1,IF(ISNA(HLOOKUP(DATE(YEAR($C$21),MONTH(C472),DAY(C472)),$C$21:$N$21,1,0)),"",MAX(A$28:A471)+1))</f>
        <v>148</v>
      </c>
      <c r="B472" s="91">
        <f>IF(C472&lt;$K$16,"",IF(ISNA(HLOOKUP(DATE(YEAR($C$20),MONTH($C472),DAY($C472)),$C$20:$N$20,1,0)),"",MAX(B$28:B471)+1))</f>
        <v>136</v>
      </c>
      <c r="C472" s="106">
        <f t="shared" si="67"/>
        <v>55518</v>
      </c>
      <c r="D472" s="795">
        <f t="shared" si="62"/>
        <v>0</v>
      </c>
      <c r="E472" s="795">
        <f>IF($A472="","",IF($A472=1,D$29*$F472*($C472-$C$28)/$K$17,
(D472*ROUND(($C472-VLOOKUP($A472-1,$A$28:$C472,3,0))/30,0)/12*$F472)
))</f>
        <v>0</v>
      </c>
      <c r="F472" s="107">
        <f t="shared" si="63"/>
        <v>0.06</v>
      </c>
      <c r="G472" s="795">
        <f t="shared" si="59"/>
        <v>0</v>
      </c>
      <c r="H472" s="795">
        <f t="shared" si="64"/>
        <v>0</v>
      </c>
      <c r="I472" s="795">
        <f t="shared" si="65"/>
        <v>0</v>
      </c>
      <c r="J472" s="795">
        <f t="shared" si="66"/>
        <v>0</v>
      </c>
      <c r="K472" s="108">
        <f t="shared" si="60"/>
        <v>2051</v>
      </c>
      <c r="L472" s="92" t="str">
        <f t="shared" si="61"/>
        <v/>
      </c>
    </row>
    <row r="473" spans="1:12" ht="12.75" customHeight="1">
      <c r="A473" s="90" t="str">
        <f>IF(B473&lt;&gt;"",MAX(A$28:A472)+1,IF(ISNA(HLOOKUP(DATE(YEAR($C$21),MONTH(C473),DAY(C473)),$C$21:$N$21,1,0)),"",MAX(A$28:A472)+1))</f>
        <v/>
      </c>
      <c r="B473" s="91" t="str">
        <f>IF(C473&lt;$K$16,"",IF(ISNA(HLOOKUP(DATE(YEAR($C$20),MONTH($C473),DAY($C473)),$C$20:$N$20,1,0)),"",MAX(B$28:B472)+1))</f>
        <v/>
      </c>
      <c r="C473" s="106">
        <f t="shared" si="67"/>
        <v>55549</v>
      </c>
      <c r="D473" s="795">
        <f t="shared" si="62"/>
        <v>0</v>
      </c>
      <c r="E473" s="795" t="str">
        <f>IF($A473="","",IF($A473=1,D$29*$F473*($C473-$C$28)/$K$17,
(D473*ROUND(($C473-VLOOKUP($A473-1,$A$28:$C473,3,0))/30,0)/12*$F473)
))</f>
        <v/>
      </c>
      <c r="F473" s="107">
        <f t="shared" si="63"/>
        <v>0.06</v>
      </c>
      <c r="G473" s="795">
        <f t="shared" si="59"/>
        <v>0</v>
      </c>
      <c r="H473" s="795">
        <f t="shared" si="64"/>
        <v>0</v>
      </c>
      <c r="I473" s="795">
        <f t="shared" si="65"/>
        <v>0</v>
      </c>
      <c r="J473" s="795">
        <f t="shared" si="66"/>
        <v>0</v>
      </c>
      <c r="K473" s="108">
        <f t="shared" si="60"/>
        <v>2052</v>
      </c>
      <c r="L473" s="92" t="str">
        <f t="shared" si="61"/>
        <v/>
      </c>
    </row>
    <row r="474" spans="1:12" ht="12.75" customHeight="1">
      <c r="A474" s="90" t="str">
        <f>IF(B474&lt;&gt;"",MAX(A$28:A473)+1,IF(ISNA(HLOOKUP(DATE(YEAR($C$21),MONTH(C474),DAY(C474)),$C$21:$N$21,1,0)),"",MAX(A$28:A473)+1))</f>
        <v/>
      </c>
      <c r="B474" s="91" t="str">
        <f>IF(C474&lt;$K$16,"",IF(ISNA(HLOOKUP(DATE(YEAR($C$20),MONTH($C474),DAY($C474)),$C$20:$N$20,1,0)),"",MAX(B$28:B473)+1))</f>
        <v/>
      </c>
      <c r="C474" s="106">
        <f t="shared" si="67"/>
        <v>55578</v>
      </c>
      <c r="D474" s="795">
        <f t="shared" si="62"/>
        <v>0</v>
      </c>
      <c r="E474" s="795" t="str">
        <f>IF($A474="","",IF($A474=1,D$29*$F474*($C474-$C$28)/$K$17,
(D474*ROUND(($C474-VLOOKUP($A474-1,$A$28:$C474,3,0))/30,0)/12*$F474)
))</f>
        <v/>
      </c>
      <c r="F474" s="107">
        <f t="shared" si="63"/>
        <v>0.06</v>
      </c>
      <c r="G474" s="795">
        <f t="shared" si="59"/>
        <v>0</v>
      </c>
      <c r="H474" s="795">
        <f t="shared" si="64"/>
        <v>0</v>
      </c>
      <c r="I474" s="795">
        <f t="shared" si="65"/>
        <v>0</v>
      </c>
      <c r="J474" s="795">
        <f t="shared" si="66"/>
        <v>0</v>
      </c>
      <c r="K474" s="108">
        <f t="shared" si="60"/>
        <v>2052</v>
      </c>
      <c r="L474" s="92" t="str">
        <f t="shared" si="61"/>
        <v/>
      </c>
    </row>
    <row r="475" spans="1:12" ht="12.75" customHeight="1">
      <c r="A475" s="90">
        <f>IF(B475&lt;&gt;"",MAX(A$28:A474)+1,IF(ISNA(HLOOKUP(DATE(YEAR($C$21),MONTH(C475),DAY(C475)),$C$21:$N$21,1,0)),"",MAX(A$28:A474)+1))</f>
        <v>149</v>
      </c>
      <c r="B475" s="91">
        <f>IF(C475&lt;$K$16,"",IF(ISNA(HLOOKUP(DATE(YEAR($C$20),MONTH($C475),DAY($C475)),$C$20:$N$20,1,0)),"",MAX(B$28:B474)+1))</f>
        <v>137</v>
      </c>
      <c r="C475" s="106">
        <f t="shared" si="67"/>
        <v>55609</v>
      </c>
      <c r="D475" s="795">
        <f t="shared" si="62"/>
        <v>0</v>
      </c>
      <c r="E475" s="795">
        <f>IF($A475="","",IF($A475=1,D$29*$F475*($C475-$C$28)/$K$17,
(D475*ROUND(($C475-VLOOKUP($A475-1,$A$28:$C475,3,0))/30,0)/12*$F475)
))</f>
        <v>0</v>
      </c>
      <c r="F475" s="107">
        <f t="shared" si="63"/>
        <v>0.06</v>
      </c>
      <c r="G475" s="795">
        <f t="shared" si="59"/>
        <v>0</v>
      </c>
      <c r="H475" s="795">
        <f t="shared" si="64"/>
        <v>0</v>
      </c>
      <c r="I475" s="795">
        <f t="shared" si="65"/>
        <v>0</v>
      </c>
      <c r="J475" s="795">
        <f t="shared" si="66"/>
        <v>0</v>
      </c>
      <c r="K475" s="108">
        <f t="shared" si="60"/>
        <v>2052</v>
      </c>
      <c r="L475" s="92" t="str">
        <f t="shared" si="61"/>
        <v/>
      </c>
    </row>
    <row r="476" spans="1:12" ht="12.75" customHeight="1">
      <c r="A476" s="90" t="str">
        <f>IF(B476&lt;&gt;"",MAX(A$28:A475)+1,IF(ISNA(HLOOKUP(DATE(YEAR($C$21),MONTH(C476),DAY(C476)),$C$21:$N$21,1,0)),"",MAX(A$28:A475)+1))</f>
        <v/>
      </c>
      <c r="B476" s="91" t="str">
        <f>IF(C476&lt;$K$16,"",IF(ISNA(HLOOKUP(DATE(YEAR($C$20),MONTH($C476),DAY($C476)),$C$20:$N$20,1,0)),"",MAX(B$28:B475)+1))</f>
        <v/>
      </c>
      <c r="C476" s="106">
        <f t="shared" si="67"/>
        <v>55639</v>
      </c>
      <c r="D476" s="795">
        <f t="shared" si="62"/>
        <v>0</v>
      </c>
      <c r="E476" s="795" t="str">
        <f>IF($A476="","",IF($A476=1,D$29*$F476*($C476-$C$28)/$K$17,
(D476*ROUND(($C476-VLOOKUP($A476-1,$A$28:$C476,3,0))/30,0)/12*$F476)
))</f>
        <v/>
      </c>
      <c r="F476" s="107">
        <f t="shared" si="63"/>
        <v>0.06</v>
      </c>
      <c r="G476" s="795">
        <f t="shared" ref="G476:G500" si="68">IF($A$26=1,I476,H476)</f>
        <v>0</v>
      </c>
      <c r="H476" s="795">
        <f t="shared" si="64"/>
        <v>0</v>
      </c>
      <c r="I476" s="795">
        <f t="shared" si="65"/>
        <v>0</v>
      </c>
      <c r="J476" s="795">
        <f t="shared" si="66"/>
        <v>0</v>
      </c>
      <c r="K476" s="108">
        <f t="shared" ref="K476:K500" si="69">YEAR(C476)</f>
        <v>2052</v>
      </c>
      <c r="L476" s="92" t="str">
        <f t="shared" ref="L476:L500" si="70">IF(AND(D476&gt;1,D477&lt;1),C476,"")</f>
        <v/>
      </c>
    </row>
    <row r="477" spans="1:12" ht="12.75" customHeight="1">
      <c r="A477" s="90" t="str">
        <f>IF(B477&lt;&gt;"",MAX(A$28:A476)+1,IF(ISNA(HLOOKUP(DATE(YEAR($C$21),MONTH(C477),DAY(C477)),$C$21:$N$21,1,0)),"",MAX(A$28:A476)+1))</f>
        <v/>
      </c>
      <c r="B477" s="91" t="str">
        <f>IF(C477&lt;$K$16,"",IF(ISNA(HLOOKUP(DATE(YEAR($C$20),MONTH($C477),DAY($C477)),$C$20:$N$20,1,0)),"",MAX(B$28:B476)+1))</f>
        <v/>
      </c>
      <c r="C477" s="106">
        <f t="shared" si="67"/>
        <v>55670</v>
      </c>
      <c r="D477" s="795">
        <f t="shared" ref="D477:D500" si="71">D476-G476</f>
        <v>0</v>
      </c>
      <c r="E477" s="795" t="str">
        <f>IF($A477="","",IF($A477=1,D$29*$F477*($C477-$C$28)/$K$17,
(D477*ROUND(($C477-VLOOKUP($A477-1,$A$28:$C477,3,0))/30,0)/12*$F477)
))</f>
        <v/>
      </c>
      <c r="F477" s="107">
        <f t="shared" ref="F477:F500" si="72">IF(C477&gt;=$E$16,$E$15,$C$15)</f>
        <v>0.06</v>
      </c>
      <c r="G477" s="795">
        <f t="shared" si="68"/>
        <v>0</v>
      </c>
      <c r="H477" s="795">
        <f t="shared" ref="H477:H500" si="73">IF(B477="",0,MIN(D477,$E$14*$K$15/$H$16))</f>
        <v>0</v>
      </c>
      <c r="I477" s="795">
        <f t="shared" ref="I477:I500" si="74">IF(B477="",0,MIN(D476,IF(C477&gt;$E$16,$H$18,$H$15)/$H$16-E477))</f>
        <v>0</v>
      </c>
      <c r="J477" s="795">
        <f t="shared" ref="J477:J500" si="75">SUM(E477,G477)</f>
        <v>0</v>
      </c>
      <c r="K477" s="108">
        <f t="shared" si="69"/>
        <v>2052</v>
      </c>
      <c r="L477" s="92" t="str">
        <f t="shared" si="70"/>
        <v/>
      </c>
    </row>
    <row r="478" spans="1:12" ht="12.75" customHeight="1">
      <c r="A478" s="90">
        <f>IF(B478&lt;&gt;"",MAX(A$28:A477)+1,IF(ISNA(HLOOKUP(DATE(YEAR($C$21),MONTH(C478),DAY(C478)),$C$21:$N$21,1,0)),"",MAX(A$28:A477)+1))</f>
        <v>150</v>
      </c>
      <c r="B478" s="91">
        <f>IF(C478&lt;$K$16,"",IF(ISNA(HLOOKUP(DATE(YEAR($C$20),MONTH($C478),DAY($C478)),$C$20:$N$20,1,0)),"",MAX(B$28:B477)+1))</f>
        <v>138</v>
      </c>
      <c r="C478" s="106">
        <f t="shared" ref="C478:C500" si="76">DATE(YEAR(C477),MONTH(C477)+2,1)-1</f>
        <v>55700</v>
      </c>
      <c r="D478" s="795">
        <f t="shared" si="71"/>
        <v>0</v>
      </c>
      <c r="E478" s="795">
        <f>IF($A478="","",IF($A478=1,D$29*$F478*($C478-$C$28)/$K$17,
(D478*ROUND(($C478-VLOOKUP($A478-1,$A$28:$C478,3,0))/30,0)/12*$F478)
))</f>
        <v>0</v>
      </c>
      <c r="F478" s="107">
        <f t="shared" si="72"/>
        <v>0.06</v>
      </c>
      <c r="G478" s="795">
        <f t="shared" si="68"/>
        <v>0</v>
      </c>
      <c r="H478" s="795">
        <f t="shared" si="73"/>
        <v>0</v>
      </c>
      <c r="I478" s="795">
        <f t="shared" si="74"/>
        <v>0</v>
      </c>
      <c r="J478" s="795">
        <f t="shared" si="75"/>
        <v>0</v>
      </c>
      <c r="K478" s="108">
        <f t="shared" si="69"/>
        <v>2052</v>
      </c>
      <c r="L478" s="92" t="str">
        <f t="shared" si="70"/>
        <v/>
      </c>
    </row>
    <row r="479" spans="1:12" ht="12.75" customHeight="1">
      <c r="A479" s="90" t="str">
        <f>IF(B479&lt;&gt;"",MAX(A$28:A478)+1,IF(ISNA(HLOOKUP(DATE(YEAR($C$21),MONTH(C479),DAY(C479)),$C$21:$N$21,1,0)),"",MAX(A$28:A478)+1))</f>
        <v/>
      </c>
      <c r="B479" s="91" t="str">
        <f>IF(C479&lt;$K$16,"",IF(ISNA(HLOOKUP(DATE(YEAR($C$20),MONTH($C479),DAY($C479)),$C$20:$N$20,1,0)),"",MAX(B$28:B478)+1))</f>
        <v/>
      </c>
      <c r="C479" s="106">
        <f t="shared" si="76"/>
        <v>55731</v>
      </c>
      <c r="D479" s="795">
        <f t="shared" si="71"/>
        <v>0</v>
      </c>
      <c r="E479" s="795" t="str">
        <f>IF($A479="","",IF($A479=1,D$29*$F479*($C479-$C$28)/$K$17,
(D479*ROUND(($C479-VLOOKUP($A479-1,$A$28:$C479,3,0))/30,0)/12*$F479)
))</f>
        <v/>
      </c>
      <c r="F479" s="107">
        <f t="shared" si="72"/>
        <v>0.06</v>
      </c>
      <c r="G479" s="795">
        <f t="shared" si="68"/>
        <v>0</v>
      </c>
      <c r="H479" s="795">
        <f t="shared" si="73"/>
        <v>0</v>
      </c>
      <c r="I479" s="795">
        <f t="shared" si="74"/>
        <v>0</v>
      </c>
      <c r="J479" s="795">
        <f t="shared" si="75"/>
        <v>0</v>
      </c>
      <c r="K479" s="108">
        <f t="shared" si="69"/>
        <v>2052</v>
      </c>
      <c r="L479" s="92" t="str">
        <f t="shared" si="70"/>
        <v/>
      </c>
    </row>
    <row r="480" spans="1:12" ht="12.75" customHeight="1">
      <c r="A480" s="90" t="str">
        <f>IF(B480&lt;&gt;"",MAX(A$28:A479)+1,IF(ISNA(HLOOKUP(DATE(YEAR($C$21),MONTH(C480),DAY(C480)),$C$21:$N$21,1,0)),"",MAX(A$28:A479)+1))</f>
        <v/>
      </c>
      <c r="B480" s="91" t="str">
        <f>IF(C480&lt;$K$16,"",IF(ISNA(HLOOKUP(DATE(YEAR($C$20),MONTH($C480),DAY($C480)),$C$20:$N$20,1,0)),"",MAX(B$28:B479)+1))</f>
        <v/>
      </c>
      <c r="C480" s="106">
        <f t="shared" si="76"/>
        <v>55762</v>
      </c>
      <c r="D480" s="795">
        <f t="shared" si="71"/>
        <v>0</v>
      </c>
      <c r="E480" s="795" t="str">
        <f>IF($A480="","",IF($A480=1,D$29*$F480*($C480-$C$28)/$K$17,
(D480*ROUND(($C480-VLOOKUP($A480-1,$A$28:$C480,3,0))/30,0)/12*$F480)
))</f>
        <v/>
      </c>
      <c r="F480" s="107">
        <f t="shared" si="72"/>
        <v>0.06</v>
      </c>
      <c r="G480" s="795">
        <f t="shared" si="68"/>
        <v>0</v>
      </c>
      <c r="H480" s="795">
        <f t="shared" si="73"/>
        <v>0</v>
      </c>
      <c r="I480" s="795">
        <f t="shared" si="74"/>
        <v>0</v>
      </c>
      <c r="J480" s="795">
        <f t="shared" si="75"/>
        <v>0</v>
      </c>
      <c r="K480" s="108">
        <f t="shared" si="69"/>
        <v>2052</v>
      </c>
      <c r="L480" s="92" t="str">
        <f t="shared" si="70"/>
        <v/>
      </c>
    </row>
    <row r="481" spans="1:12" ht="12.75" customHeight="1">
      <c r="A481" s="90">
        <f>IF(B481&lt;&gt;"",MAX(A$28:A480)+1,IF(ISNA(HLOOKUP(DATE(YEAR($C$21),MONTH(C481),DAY(C481)),$C$21:$N$21,1,0)),"",MAX(A$28:A480)+1))</f>
        <v>151</v>
      </c>
      <c r="B481" s="91">
        <f>IF(C481&lt;$K$16,"",IF(ISNA(HLOOKUP(DATE(YEAR($C$20),MONTH($C481),DAY($C481)),$C$20:$N$20,1,0)),"",MAX(B$28:B480)+1))</f>
        <v>139</v>
      </c>
      <c r="C481" s="106">
        <f t="shared" si="76"/>
        <v>55792</v>
      </c>
      <c r="D481" s="795">
        <f t="shared" si="71"/>
        <v>0</v>
      </c>
      <c r="E481" s="795">
        <f>IF($A481="","",IF($A481=1,D$29*$F481*($C481-$C$28)/$K$17,
(D481*ROUND(($C481-VLOOKUP($A481-1,$A$28:$C481,3,0))/30,0)/12*$F481)
))</f>
        <v>0</v>
      </c>
      <c r="F481" s="107">
        <f t="shared" si="72"/>
        <v>0.06</v>
      </c>
      <c r="G481" s="795">
        <f t="shared" si="68"/>
        <v>0</v>
      </c>
      <c r="H481" s="795">
        <f t="shared" si="73"/>
        <v>0</v>
      </c>
      <c r="I481" s="795">
        <f t="shared" si="74"/>
        <v>0</v>
      </c>
      <c r="J481" s="795">
        <f t="shared" si="75"/>
        <v>0</v>
      </c>
      <c r="K481" s="108">
        <f t="shared" si="69"/>
        <v>2052</v>
      </c>
      <c r="L481" s="92" t="str">
        <f t="shared" si="70"/>
        <v/>
      </c>
    </row>
    <row r="482" spans="1:12" ht="12.75" customHeight="1">
      <c r="A482" s="90" t="str">
        <f>IF(B482&lt;&gt;"",MAX(A$28:A481)+1,IF(ISNA(HLOOKUP(DATE(YEAR($C$21),MONTH(C482),DAY(C482)),$C$21:$N$21,1,0)),"",MAX(A$28:A481)+1))</f>
        <v/>
      </c>
      <c r="B482" s="91" t="str">
        <f>IF(C482&lt;$K$16,"",IF(ISNA(HLOOKUP(DATE(YEAR($C$20),MONTH($C482),DAY($C482)),$C$20:$N$20,1,0)),"",MAX(B$28:B481)+1))</f>
        <v/>
      </c>
      <c r="C482" s="106">
        <f t="shared" si="76"/>
        <v>55823</v>
      </c>
      <c r="D482" s="795">
        <f t="shared" si="71"/>
        <v>0</v>
      </c>
      <c r="E482" s="795" t="str">
        <f>IF($A482="","",IF($A482=1,D$29*$F482*($C482-$C$28)/$K$17,
(D482*ROUND(($C482-VLOOKUP($A482-1,$A$28:$C482,3,0))/30,0)/12*$F482)
))</f>
        <v/>
      </c>
      <c r="F482" s="107">
        <f t="shared" si="72"/>
        <v>0.06</v>
      </c>
      <c r="G482" s="795">
        <f t="shared" si="68"/>
        <v>0</v>
      </c>
      <c r="H482" s="795">
        <f t="shared" si="73"/>
        <v>0</v>
      </c>
      <c r="I482" s="795">
        <f t="shared" si="74"/>
        <v>0</v>
      </c>
      <c r="J482" s="795">
        <f t="shared" si="75"/>
        <v>0</v>
      </c>
      <c r="K482" s="108">
        <f t="shared" si="69"/>
        <v>2052</v>
      </c>
      <c r="L482" s="92" t="str">
        <f t="shared" si="70"/>
        <v/>
      </c>
    </row>
    <row r="483" spans="1:12" ht="12.75" customHeight="1">
      <c r="A483" s="90" t="str">
        <f>IF(B483&lt;&gt;"",MAX(A$28:A482)+1,IF(ISNA(HLOOKUP(DATE(YEAR($C$21),MONTH(C483),DAY(C483)),$C$21:$N$21,1,0)),"",MAX(A$28:A482)+1))</f>
        <v/>
      </c>
      <c r="B483" s="91" t="str">
        <f>IF(C483&lt;$K$16,"",IF(ISNA(HLOOKUP(DATE(YEAR($C$20),MONTH($C483),DAY($C483)),$C$20:$N$20,1,0)),"",MAX(B$28:B482)+1))</f>
        <v/>
      </c>
      <c r="C483" s="106">
        <f t="shared" si="76"/>
        <v>55853</v>
      </c>
      <c r="D483" s="795">
        <f t="shared" si="71"/>
        <v>0</v>
      </c>
      <c r="E483" s="795" t="str">
        <f>IF($A483="","",IF($A483=1,D$29*$F483*($C483-$C$28)/$K$17,
(D483*ROUND(($C483-VLOOKUP($A483-1,$A$28:$C483,3,0))/30,0)/12*$F483)
))</f>
        <v/>
      </c>
      <c r="F483" s="107">
        <f t="shared" si="72"/>
        <v>0.06</v>
      </c>
      <c r="G483" s="795">
        <f t="shared" si="68"/>
        <v>0</v>
      </c>
      <c r="H483" s="795">
        <f t="shared" si="73"/>
        <v>0</v>
      </c>
      <c r="I483" s="795">
        <f t="shared" si="74"/>
        <v>0</v>
      </c>
      <c r="J483" s="795">
        <f t="shared" si="75"/>
        <v>0</v>
      </c>
      <c r="K483" s="108">
        <f t="shared" si="69"/>
        <v>2052</v>
      </c>
      <c r="L483" s="92" t="str">
        <f t="shared" si="70"/>
        <v/>
      </c>
    </row>
    <row r="484" spans="1:12" ht="12.75" customHeight="1">
      <c r="A484" s="90">
        <f>IF(B484&lt;&gt;"",MAX(A$28:A483)+1,IF(ISNA(HLOOKUP(DATE(YEAR($C$21),MONTH(C484),DAY(C484)),$C$21:$N$21,1,0)),"",MAX(A$28:A483)+1))</f>
        <v>152</v>
      </c>
      <c r="B484" s="91">
        <f>IF(C484&lt;$K$16,"",IF(ISNA(HLOOKUP(DATE(YEAR($C$20),MONTH($C484),DAY($C484)),$C$20:$N$20,1,0)),"",MAX(B$28:B483)+1))</f>
        <v>140</v>
      </c>
      <c r="C484" s="106">
        <f t="shared" si="76"/>
        <v>55884</v>
      </c>
      <c r="D484" s="795">
        <f t="shared" si="71"/>
        <v>0</v>
      </c>
      <c r="E484" s="795">
        <f>IF($A484="","",IF($A484=1,D$29*$F484*($C484-$C$28)/$K$17,
(D484*ROUND(($C484-VLOOKUP($A484-1,$A$28:$C484,3,0))/30,0)/12*$F484)
))</f>
        <v>0</v>
      </c>
      <c r="F484" s="107">
        <f t="shared" si="72"/>
        <v>0.06</v>
      </c>
      <c r="G484" s="795">
        <f t="shared" si="68"/>
        <v>0</v>
      </c>
      <c r="H484" s="795">
        <f t="shared" si="73"/>
        <v>0</v>
      </c>
      <c r="I484" s="795">
        <f t="shared" si="74"/>
        <v>0</v>
      </c>
      <c r="J484" s="795">
        <f t="shared" si="75"/>
        <v>0</v>
      </c>
      <c r="K484" s="108">
        <f t="shared" si="69"/>
        <v>2052</v>
      </c>
      <c r="L484" s="92" t="str">
        <f t="shared" si="70"/>
        <v/>
      </c>
    </row>
    <row r="485" spans="1:12" ht="12.75" customHeight="1">
      <c r="A485" s="90" t="str">
        <f>IF(B485&lt;&gt;"",MAX(A$28:A484)+1,IF(ISNA(HLOOKUP(DATE(YEAR($C$21),MONTH(C485),DAY(C485)),$C$21:$N$21,1,0)),"",MAX(A$28:A484)+1))</f>
        <v/>
      </c>
      <c r="B485" s="91" t="str">
        <f>IF(C485&lt;$K$16,"",IF(ISNA(HLOOKUP(DATE(YEAR($C$20),MONTH($C485),DAY($C485)),$C$20:$N$20,1,0)),"",MAX(B$28:B484)+1))</f>
        <v/>
      </c>
      <c r="C485" s="106">
        <f t="shared" si="76"/>
        <v>55915</v>
      </c>
      <c r="D485" s="795">
        <f t="shared" si="71"/>
        <v>0</v>
      </c>
      <c r="E485" s="795" t="str">
        <f>IF($A485="","",IF($A485=1,D$29*$F485*($C485-$C$28)/$K$17,
(D485*ROUND(($C485-VLOOKUP($A485-1,$A$28:$C485,3,0))/30,0)/12*$F485)
))</f>
        <v/>
      </c>
      <c r="F485" s="107">
        <f t="shared" si="72"/>
        <v>0.06</v>
      </c>
      <c r="G485" s="795">
        <f t="shared" si="68"/>
        <v>0</v>
      </c>
      <c r="H485" s="795">
        <f t="shared" si="73"/>
        <v>0</v>
      </c>
      <c r="I485" s="795">
        <f t="shared" si="74"/>
        <v>0</v>
      </c>
      <c r="J485" s="795">
        <f t="shared" si="75"/>
        <v>0</v>
      </c>
      <c r="K485" s="108">
        <f t="shared" si="69"/>
        <v>2053</v>
      </c>
      <c r="L485" s="92" t="str">
        <f t="shared" si="70"/>
        <v/>
      </c>
    </row>
    <row r="486" spans="1:12" ht="12.75" customHeight="1">
      <c r="A486" s="90" t="str">
        <f>IF(B486&lt;&gt;"",MAX(A$28:A485)+1,IF(ISNA(HLOOKUP(DATE(YEAR($C$21),MONTH(C486),DAY(C486)),$C$21:$N$21,1,0)),"",MAX(A$28:A485)+1))</f>
        <v/>
      </c>
      <c r="B486" s="91" t="str">
        <f>IF(C486&lt;$K$16,"",IF(ISNA(HLOOKUP(DATE(YEAR($C$20),MONTH($C486),DAY($C486)),$C$20:$N$20,1,0)),"",MAX(B$28:B485)+1))</f>
        <v/>
      </c>
      <c r="C486" s="106">
        <f t="shared" si="76"/>
        <v>55943</v>
      </c>
      <c r="D486" s="795">
        <f t="shared" si="71"/>
        <v>0</v>
      </c>
      <c r="E486" s="795" t="str">
        <f>IF($A486="","",IF($A486=1,D$29*$F486*($C486-$C$28)/$K$17,
(D486*ROUND(($C486-VLOOKUP($A486-1,$A$28:$C486,3,0))/30,0)/12*$F486)
))</f>
        <v/>
      </c>
      <c r="F486" s="107">
        <f t="shared" si="72"/>
        <v>0.06</v>
      </c>
      <c r="G486" s="795">
        <f t="shared" si="68"/>
        <v>0</v>
      </c>
      <c r="H486" s="795">
        <f t="shared" si="73"/>
        <v>0</v>
      </c>
      <c r="I486" s="795">
        <f t="shared" si="74"/>
        <v>0</v>
      </c>
      <c r="J486" s="795">
        <f t="shared" si="75"/>
        <v>0</v>
      </c>
      <c r="K486" s="108">
        <f t="shared" si="69"/>
        <v>2053</v>
      </c>
      <c r="L486" s="92" t="str">
        <f t="shared" si="70"/>
        <v/>
      </c>
    </row>
    <row r="487" spans="1:12" ht="12.75" customHeight="1">
      <c r="A487" s="90">
        <f>IF(B487&lt;&gt;"",MAX(A$28:A486)+1,IF(ISNA(HLOOKUP(DATE(YEAR($C$21),MONTH(C487),DAY(C487)),$C$21:$N$21,1,0)),"",MAX(A$28:A486)+1))</f>
        <v>153</v>
      </c>
      <c r="B487" s="91">
        <f>IF(C487&lt;$K$16,"",IF(ISNA(HLOOKUP(DATE(YEAR($C$20),MONTH($C487),DAY($C487)),$C$20:$N$20,1,0)),"",MAX(B$28:B486)+1))</f>
        <v>141</v>
      </c>
      <c r="C487" s="106">
        <f t="shared" si="76"/>
        <v>55974</v>
      </c>
      <c r="D487" s="795">
        <f t="shared" si="71"/>
        <v>0</v>
      </c>
      <c r="E487" s="795">
        <f>IF($A487="","",IF($A487=1,D$29*$F487*($C487-$C$28)/$K$17,
(D487*ROUND(($C487-VLOOKUP($A487-1,$A$28:$C487,3,0))/30,0)/12*$F487)
))</f>
        <v>0</v>
      </c>
      <c r="F487" s="107">
        <f t="shared" si="72"/>
        <v>0.06</v>
      </c>
      <c r="G487" s="795">
        <f t="shared" si="68"/>
        <v>0</v>
      </c>
      <c r="H487" s="795">
        <f t="shared" si="73"/>
        <v>0</v>
      </c>
      <c r="I487" s="795">
        <f t="shared" si="74"/>
        <v>0</v>
      </c>
      <c r="J487" s="795">
        <f t="shared" si="75"/>
        <v>0</v>
      </c>
      <c r="K487" s="108">
        <f t="shared" si="69"/>
        <v>2053</v>
      </c>
      <c r="L487" s="92" t="str">
        <f t="shared" si="70"/>
        <v/>
      </c>
    </row>
    <row r="488" spans="1:12" ht="12.75" customHeight="1">
      <c r="A488" s="90" t="str">
        <f>IF(B488&lt;&gt;"",MAX(A$28:A487)+1,IF(ISNA(HLOOKUP(DATE(YEAR($C$21),MONTH(C488),DAY(C488)),$C$21:$N$21,1,0)),"",MAX(A$28:A487)+1))</f>
        <v/>
      </c>
      <c r="B488" s="91" t="str">
        <f>IF(C488&lt;$K$16,"",IF(ISNA(HLOOKUP(DATE(YEAR($C$20),MONTH($C488),DAY($C488)),$C$20:$N$20,1,0)),"",MAX(B$28:B487)+1))</f>
        <v/>
      </c>
      <c r="C488" s="106">
        <f t="shared" si="76"/>
        <v>56004</v>
      </c>
      <c r="D488" s="795">
        <f t="shared" si="71"/>
        <v>0</v>
      </c>
      <c r="E488" s="795" t="str">
        <f>IF($A488="","",IF($A488=1,D$29*$F488*($C488-$C$28)/$K$17,
(D488*ROUND(($C488-VLOOKUP($A488-1,$A$28:$C488,3,0))/30,0)/12*$F488)
))</f>
        <v/>
      </c>
      <c r="F488" s="107">
        <f t="shared" si="72"/>
        <v>0.06</v>
      </c>
      <c r="G488" s="795">
        <f t="shared" si="68"/>
        <v>0</v>
      </c>
      <c r="H488" s="795">
        <f t="shared" si="73"/>
        <v>0</v>
      </c>
      <c r="I488" s="795">
        <f t="shared" si="74"/>
        <v>0</v>
      </c>
      <c r="J488" s="795">
        <f t="shared" si="75"/>
        <v>0</v>
      </c>
      <c r="K488" s="108">
        <f t="shared" si="69"/>
        <v>2053</v>
      </c>
      <c r="L488" s="92" t="str">
        <f t="shared" si="70"/>
        <v/>
      </c>
    </row>
    <row r="489" spans="1:12" ht="12.75" customHeight="1">
      <c r="A489" s="90" t="str">
        <f>IF(B489&lt;&gt;"",MAX(A$28:A488)+1,IF(ISNA(HLOOKUP(DATE(YEAR($C$21),MONTH(C489),DAY(C489)),$C$21:$N$21,1,0)),"",MAX(A$28:A488)+1))</f>
        <v/>
      </c>
      <c r="B489" s="91" t="str">
        <f>IF(C489&lt;$K$16,"",IF(ISNA(HLOOKUP(DATE(YEAR($C$20),MONTH($C489),DAY($C489)),$C$20:$N$20,1,0)),"",MAX(B$28:B488)+1))</f>
        <v/>
      </c>
      <c r="C489" s="106">
        <f t="shared" si="76"/>
        <v>56035</v>
      </c>
      <c r="D489" s="795">
        <f t="shared" si="71"/>
        <v>0</v>
      </c>
      <c r="E489" s="795" t="str">
        <f>IF($A489="","",IF($A489=1,D$29*$F489*($C489-$C$28)/$K$17,
(D489*ROUND(($C489-VLOOKUP($A489-1,$A$28:$C489,3,0))/30,0)/12*$F489)
))</f>
        <v/>
      </c>
      <c r="F489" s="107">
        <f t="shared" si="72"/>
        <v>0.06</v>
      </c>
      <c r="G489" s="795">
        <f t="shared" si="68"/>
        <v>0</v>
      </c>
      <c r="H489" s="795">
        <f t="shared" si="73"/>
        <v>0</v>
      </c>
      <c r="I489" s="795">
        <f t="shared" si="74"/>
        <v>0</v>
      </c>
      <c r="J489" s="795">
        <f t="shared" si="75"/>
        <v>0</v>
      </c>
      <c r="K489" s="108">
        <f t="shared" si="69"/>
        <v>2053</v>
      </c>
      <c r="L489" s="92" t="str">
        <f t="shared" si="70"/>
        <v/>
      </c>
    </row>
    <row r="490" spans="1:12" ht="12.75" customHeight="1">
      <c r="A490" s="90">
        <f>IF(B490&lt;&gt;"",MAX(A$28:A489)+1,IF(ISNA(HLOOKUP(DATE(YEAR($C$21),MONTH(C490),DAY(C490)),$C$21:$N$21,1,0)),"",MAX(A$28:A489)+1))</f>
        <v>154</v>
      </c>
      <c r="B490" s="91">
        <f>IF(C490&lt;$K$16,"",IF(ISNA(HLOOKUP(DATE(YEAR($C$20),MONTH($C490),DAY($C490)),$C$20:$N$20,1,0)),"",MAX(B$28:B489)+1))</f>
        <v>142</v>
      </c>
      <c r="C490" s="106">
        <f t="shared" si="76"/>
        <v>56065</v>
      </c>
      <c r="D490" s="795">
        <f t="shared" si="71"/>
        <v>0</v>
      </c>
      <c r="E490" s="795">
        <f>IF($A490="","",IF($A490=1,D$29*$F490*($C490-$C$28)/$K$17,
(D490*ROUND(($C490-VLOOKUP($A490-1,$A$28:$C490,3,0))/30,0)/12*$F490)
))</f>
        <v>0</v>
      </c>
      <c r="F490" s="107">
        <f t="shared" si="72"/>
        <v>0.06</v>
      </c>
      <c r="G490" s="795">
        <f t="shared" si="68"/>
        <v>0</v>
      </c>
      <c r="H490" s="795">
        <f t="shared" si="73"/>
        <v>0</v>
      </c>
      <c r="I490" s="795">
        <f t="shared" si="74"/>
        <v>0</v>
      </c>
      <c r="J490" s="795">
        <f t="shared" si="75"/>
        <v>0</v>
      </c>
      <c r="K490" s="108">
        <f t="shared" si="69"/>
        <v>2053</v>
      </c>
      <c r="L490" s="92" t="str">
        <f t="shared" si="70"/>
        <v/>
      </c>
    </row>
    <row r="491" spans="1:12" ht="12.75" customHeight="1">
      <c r="A491" s="90" t="str">
        <f>IF(B491&lt;&gt;"",MAX(A$28:A490)+1,IF(ISNA(HLOOKUP(DATE(YEAR($C$21),MONTH(C491),DAY(C491)),$C$21:$N$21,1,0)),"",MAX(A$28:A490)+1))</f>
        <v/>
      </c>
      <c r="B491" s="91" t="str">
        <f>IF(C491&lt;$K$16,"",IF(ISNA(HLOOKUP(DATE(YEAR($C$20),MONTH($C491),DAY($C491)),$C$20:$N$20,1,0)),"",MAX(B$28:B490)+1))</f>
        <v/>
      </c>
      <c r="C491" s="106">
        <f t="shared" si="76"/>
        <v>56096</v>
      </c>
      <c r="D491" s="795">
        <f t="shared" si="71"/>
        <v>0</v>
      </c>
      <c r="E491" s="795" t="str">
        <f>IF($A491="","",IF($A491=1,D$29*$F491*($C491-$C$28)/$K$17,
(D491*ROUND(($C491-VLOOKUP($A491-1,$A$28:$C491,3,0))/30,0)/12*$F491)
))</f>
        <v/>
      </c>
      <c r="F491" s="107">
        <f t="shared" si="72"/>
        <v>0.06</v>
      </c>
      <c r="G491" s="795">
        <f t="shared" si="68"/>
        <v>0</v>
      </c>
      <c r="H491" s="795">
        <f t="shared" si="73"/>
        <v>0</v>
      </c>
      <c r="I491" s="795">
        <f t="shared" si="74"/>
        <v>0</v>
      </c>
      <c r="J491" s="795">
        <f t="shared" si="75"/>
        <v>0</v>
      </c>
      <c r="K491" s="108">
        <f t="shared" si="69"/>
        <v>2053</v>
      </c>
      <c r="L491" s="92" t="str">
        <f t="shared" si="70"/>
        <v/>
      </c>
    </row>
    <row r="492" spans="1:12" ht="12.75" customHeight="1">
      <c r="A492" s="90" t="str">
        <f>IF(B492&lt;&gt;"",MAX(A$28:A491)+1,IF(ISNA(HLOOKUP(DATE(YEAR($C$21),MONTH(C492),DAY(C492)),$C$21:$N$21,1,0)),"",MAX(A$28:A491)+1))</f>
        <v/>
      </c>
      <c r="B492" s="91" t="str">
        <f>IF(C492&lt;$K$16,"",IF(ISNA(HLOOKUP(DATE(YEAR($C$20),MONTH($C492),DAY($C492)),$C$20:$N$20,1,0)),"",MAX(B$28:B491)+1))</f>
        <v/>
      </c>
      <c r="C492" s="106">
        <f t="shared" si="76"/>
        <v>56127</v>
      </c>
      <c r="D492" s="795">
        <f t="shared" si="71"/>
        <v>0</v>
      </c>
      <c r="E492" s="795" t="str">
        <f>IF($A492="","",IF($A492=1,D$29*$F492*($C492-$C$28)/$K$17,
(D492*ROUND(($C492-VLOOKUP($A492-1,$A$28:$C492,3,0))/30,0)/12*$F492)
))</f>
        <v/>
      </c>
      <c r="F492" s="107">
        <f t="shared" si="72"/>
        <v>0.06</v>
      </c>
      <c r="G492" s="795">
        <f t="shared" si="68"/>
        <v>0</v>
      </c>
      <c r="H492" s="795">
        <f t="shared" si="73"/>
        <v>0</v>
      </c>
      <c r="I492" s="795">
        <f t="shared" si="74"/>
        <v>0</v>
      </c>
      <c r="J492" s="795">
        <f t="shared" si="75"/>
        <v>0</v>
      </c>
      <c r="K492" s="108">
        <f t="shared" si="69"/>
        <v>2053</v>
      </c>
      <c r="L492" s="92" t="str">
        <f t="shared" si="70"/>
        <v/>
      </c>
    </row>
    <row r="493" spans="1:12" ht="12.75" customHeight="1">
      <c r="A493" s="90">
        <f>IF(B493&lt;&gt;"",MAX(A$28:A492)+1,IF(ISNA(HLOOKUP(DATE(YEAR($C$21),MONTH(C493),DAY(C493)),$C$21:$N$21,1,0)),"",MAX(A$28:A492)+1))</f>
        <v>155</v>
      </c>
      <c r="B493" s="91">
        <f>IF(C493&lt;$K$16,"",IF(ISNA(HLOOKUP(DATE(YEAR($C$20),MONTH($C493),DAY($C493)),$C$20:$N$20,1,0)),"",MAX(B$28:B492)+1))</f>
        <v>143</v>
      </c>
      <c r="C493" s="106">
        <f t="shared" si="76"/>
        <v>56157</v>
      </c>
      <c r="D493" s="795">
        <f t="shared" si="71"/>
        <v>0</v>
      </c>
      <c r="E493" s="795">
        <f>IF($A493="","",IF($A493=1,D$29*$F493*($C493-$C$28)/$K$17,
(D493*ROUND(($C493-VLOOKUP($A493-1,$A$28:$C493,3,0))/30,0)/12*$F493)
))</f>
        <v>0</v>
      </c>
      <c r="F493" s="107">
        <f t="shared" si="72"/>
        <v>0.06</v>
      </c>
      <c r="G493" s="795">
        <f t="shared" si="68"/>
        <v>0</v>
      </c>
      <c r="H493" s="795">
        <f t="shared" si="73"/>
        <v>0</v>
      </c>
      <c r="I493" s="795">
        <f t="shared" si="74"/>
        <v>0</v>
      </c>
      <c r="J493" s="795">
        <f t="shared" si="75"/>
        <v>0</v>
      </c>
      <c r="K493" s="108">
        <f t="shared" si="69"/>
        <v>2053</v>
      </c>
      <c r="L493" s="92" t="str">
        <f t="shared" si="70"/>
        <v/>
      </c>
    </row>
    <row r="494" spans="1:12" ht="12.75" customHeight="1">
      <c r="A494" s="90" t="str">
        <f>IF(B494&lt;&gt;"",MAX(A$28:A493)+1,IF(ISNA(HLOOKUP(DATE(YEAR($C$21),MONTH(C494),DAY(C494)),$C$21:$N$21,1,0)),"",MAX(A$28:A493)+1))</f>
        <v/>
      </c>
      <c r="B494" s="91" t="str">
        <f>IF(C494&lt;$K$16,"",IF(ISNA(HLOOKUP(DATE(YEAR($C$20),MONTH($C494),DAY($C494)),$C$20:$N$20,1,0)),"",MAX(B$28:B493)+1))</f>
        <v/>
      </c>
      <c r="C494" s="106">
        <f t="shared" si="76"/>
        <v>56188</v>
      </c>
      <c r="D494" s="795">
        <f t="shared" si="71"/>
        <v>0</v>
      </c>
      <c r="E494" s="795" t="str">
        <f>IF($A494="","",IF($A494=1,D$29*$F494*($C494-$C$28)/$K$17,
(D494*ROUND(($C494-VLOOKUP($A494-1,$A$28:$C494,3,0))/30,0)/12*$F494)
))</f>
        <v/>
      </c>
      <c r="F494" s="107">
        <f t="shared" si="72"/>
        <v>0.06</v>
      </c>
      <c r="G494" s="795">
        <f t="shared" si="68"/>
        <v>0</v>
      </c>
      <c r="H494" s="795">
        <f t="shared" si="73"/>
        <v>0</v>
      </c>
      <c r="I494" s="795">
        <f t="shared" si="74"/>
        <v>0</v>
      </c>
      <c r="J494" s="795">
        <f t="shared" si="75"/>
        <v>0</v>
      </c>
      <c r="K494" s="108">
        <f t="shared" si="69"/>
        <v>2053</v>
      </c>
      <c r="L494" s="92" t="str">
        <f t="shared" si="70"/>
        <v/>
      </c>
    </row>
    <row r="495" spans="1:12" ht="12.75" customHeight="1">
      <c r="A495" s="90" t="str">
        <f>IF(B495&lt;&gt;"",MAX(A$28:A494)+1,IF(ISNA(HLOOKUP(DATE(YEAR($C$21),MONTH(C495),DAY(C495)),$C$21:$N$21,1,0)),"",MAX(A$28:A494)+1))</f>
        <v/>
      </c>
      <c r="B495" s="91" t="str">
        <f>IF(C495&lt;$K$16,"",IF(ISNA(HLOOKUP(DATE(YEAR($C$20),MONTH($C495),DAY($C495)),$C$20:$N$20,1,0)),"",MAX(B$28:B494)+1))</f>
        <v/>
      </c>
      <c r="C495" s="106">
        <f t="shared" si="76"/>
        <v>56218</v>
      </c>
      <c r="D495" s="795">
        <f t="shared" si="71"/>
        <v>0</v>
      </c>
      <c r="E495" s="795" t="str">
        <f>IF($A495="","",IF($A495=1,D$29*$F495*($C495-$C$28)/$K$17,
(D495*ROUND(($C495-VLOOKUP($A495-1,$A$28:$C495,3,0))/30,0)/12*$F495)
))</f>
        <v/>
      </c>
      <c r="F495" s="107">
        <f t="shared" si="72"/>
        <v>0.06</v>
      </c>
      <c r="G495" s="795">
        <f t="shared" si="68"/>
        <v>0</v>
      </c>
      <c r="H495" s="795">
        <f t="shared" si="73"/>
        <v>0</v>
      </c>
      <c r="I495" s="795">
        <f t="shared" si="74"/>
        <v>0</v>
      </c>
      <c r="J495" s="795">
        <f t="shared" si="75"/>
        <v>0</v>
      </c>
      <c r="K495" s="108">
        <f t="shared" si="69"/>
        <v>2053</v>
      </c>
      <c r="L495" s="92" t="str">
        <f t="shared" si="70"/>
        <v/>
      </c>
    </row>
    <row r="496" spans="1:12" ht="12.75" customHeight="1">
      <c r="A496" s="90">
        <f>IF(B496&lt;&gt;"",MAX(A$28:A495)+1,IF(ISNA(HLOOKUP(DATE(YEAR($C$21),MONTH(C496),DAY(C496)),$C$21:$N$21,1,0)),"",MAX(A$28:A495)+1))</f>
        <v>156</v>
      </c>
      <c r="B496" s="91">
        <f>IF(C496&lt;$K$16,"",IF(ISNA(HLOOKUP(DATE(YEAR($C$20),MONTH($C496),DAY($C496)),$C$20:$N$20,1,0)),"",MAX(B$28:B495)+1))</f>
        <v>144</v>
      </c>
      <c r="C496" s="106">
        <f t="shared" si="76"/>
        <v>56249</v>
      </c>
      <c r="D496" s="795">
        <f t="shared" si="71"/>
        <v>0</v>
      </c>
      <c r="E496" s="795">
        <f>IF($A496="","",IF($A496=1,D$29*$F496*($C496-$C$28)/$K$17,
(D496*ROUND(($C496-VLOOKUP($A496-1,$A$28:$C496,3,0))/30,0)/12*$F496)
))</f>
        <v>0</v>
      </c>
      <c r="F496" s="107">
        <f t="shared" si="72"/>
        <v>0.06</v>
      </c>
      <c r="G496" s="795">
        <f t="shared" si="68"/>
        <v>0</v>
      </c>
      <c r="H496" s="795">
        <f t="shared" si="73"/>
        <v>0</v>
      </c>
      <c r="I496" s="795">
        <f t="shared" si="74"/>
        <v>0</v>
      </c>
      <c r="J496" s="795">
        <f t="shared" si="75"/>
        <v>0</v>
      </c>
      <c r="K496" s="108">
        <f t="shared" si="69"/>
        <v>2053</v>
      </c>
      <c r="L496" s="92" t="str">
        <f t="shared" si="70"/>
        <v/>
      </c>
    </row>
    <row r="497" spans="1:12" ht="12.75" customHeight="1">
      <c r="A497" s="90" t="str">
        <f>IF(B497&lt;&gt;"",MAX(A$28:A496)+1,IF(ISNA(HLOOKUP(DATE(YEAR($C$21),MONTH(C497),DAY(C497)),$C$21:$N$21,1,0)),"",MAX(A$28:A496)+1))</f>
        <v/>
      </c>
      <c r="B497" s="91" t="str">
        <f>IF(C497&lt;$K$16,"",IF(ISNA(HLOOKUP(DATE(YEAR($C$20),MONTH($C497),DAY($C497)),$C$20:$N$20,1,0)),"",MAX(B$28:B496)+1))</f>
        <v/>
      </c>
      <c r="C497" s="106">
        <f t="shared" si="76"/>
        <v>56280</v>
      </c>
      <c r="D497" s="795">
        <f t="shared" si="71"/>
        <v>0</v>
      </c>
      <c r="E497" s="795" t="str">
        <f>IF($A497="","",IF($A497=1,D$29*$F497*($C497-$C$28)/$K$17,
(D497*ROUND(($C497-VLOOKUP($A497-1,$A$28:$C497,3,0))/30,0)/12*$F497)
))</f>
        <v/>
      </c>
      <c r="F497" s="107">
        <f t="shared" si="72"/>
        <v>0.06</v>
      </c>
      <c r="G497" s="795">
        <f t="shared" si="68"/>
        <v>0</v>
      </c>
      <c r="H497" s="795">
        <f t="shared" si="73"/>
        <v>0</v>
      </c>
      <c r="I497" s="795">
        <f t="shared" si="74"/>
        <v>0</v>
      </c>
      <c r="J497" s="795">
        <f t="shared" si="75"/>
        <v>0</v>
      </c>
      <c r="K497" s="108">
        <f t="shared" si="69"/>
        <v>2054</v>
      </c>
      <c r="L497" s="92" t="str">
        <f t="shared" si="70"/>
        <v/>
      </c>
    </row>
    <row r="498" spans="1:12" ht="12.75" customHeight="1">
      <c r="A498" s="90" t="str">
        <f>IF(B498&lt;&gt;"",MAX(A$28:A497)+1,IF(ISNA(HLOOKUP(DATE(YEAR($C$21),MONTH(C498),DAY(C498)),$C$21:$N$21,1,0)),"",MAX(A$28:A497)+1))</f>
        <v/>
      </c>
      <c r="B498" s="91" t="str">
        <f>IF(C498&lt;$K$16,"",IF(ISNA(HLOOKUP(DATE(YEAR($C$20),MONTH($C498),DAY($C498)),$C$20:$N$20,1,0)),"",MAX(B$28:B497)+1))</f>
        <v/>
      </c>
      <c r="C498" s="106">
        <f t="shared" si="76"/>
        <v>56308</v>
      </c>
      <c r="D498" s="795">
        <f t="shared" si="71"/>
        <v>0</v>
      </c>
      <c r="E498" s="795" t="str">
        <f>IF($A498="","",IF($A498=1,D$29*$F498*($C498-$C$28)/$K$17,
(D498*ROUND(($C498-VLOOKUP($A498-1,$A$28:$C498,3,0))/30,0)/12*$F498)
))</f>
        <v/>
      </c>
      <c r="F498" s="107">
        <f t="shared" si="72"/>
        <v>0.06</v>
      </c>
      <c r="G498" s="795">
        <f t="shared" si="68"/>
        <v>0</v>
      </c>
      <c r="H498" s="795">
        <f t="shared" si="73"/>
        <v>0</v>
      </c>
      <c r="I498" s="795">
        <f t="shared" si="74"/>
        <v>0</v>
      </c>
      <c r="J498" s="795">
        <f t="shared" si="75"/>
        <v>0</v>
      </c>
      <c r="K498" s="108">
        <f t="shared" si="69"/>
        <v>2054</v>
      </c>
      <c r="L498" s="92" t="str">
        <f t="shared" si="70"/>
        <v/>
      </c>
    </row>
    <row r="499" spans="1:12" ht="12.75" customHeight="1">
      <c r="A499" s="90">
        <f>IF(B499&lt;&gt;"",MAX(A$28:A498)+1,IF(ISNA(HLOOKUP(DATE(YEAR($C$21),MONTH(C499),DAY(C499)),$C$21:$N$21,1,0)),"",MAX(A$28:A498)+1))</f>
        <v>157</v>
      </c>
      <c r="B499" s="91">
        <f>IF(C499&lt;$K$16,"",IF(ISNA(HLOOKUP(DATE(YEAR($C$20),MONTH($C499),DAY($C499)),$C$20:$N$20,1,0)),"",MAX(B$28:B498)+1))</f>
        <v>145</v>
      </c>
      <c r="C499" s="106">
        <f t="shared" si="76"/>
        <v>56339</v>
      </c>
      <c r="D499" s="795">
        <f t="shared" si="71"/>
        <v>0</v>
      </c>
      <c r="E499" s="795">
        <f>IF($A499="","",IF($A499=1,D$29*$F499*($C499-$C$28)/$K$17,
(D499*ROUND(($C499-VLOOKUP($A499-1,$A$28:$C499,3,0))/30,0)/12*$F499)
))</f>
        <v>0</v>
      </c>
      <c r="F499" s="107">
        <f t="shared" si="72"/>
        <v>0.06</v>
      </c>
      <c r="G499" s="795">
        <f t="shared" si="68"/>
        <v>0</v>
      </c>
      <c r="H499" s="795">
        <f t="shared" si="73"/>
        <v>0</v>
      </c>
      <c r="I499" s="795">
        <f t="shared" si="74"/>
        <v>0</v>
      </c>
      <c r="J499" s="795">
        <f t="shared" si="75"/>
        <v>0</v>
      </c>
      <c r="K499" s="108">
        <f t="shared" si="69"/>
        <v>2054</v>
      </c>
      <c r="L499" s="92" t="str">
        <f t="shared" si="70"/>
        <v/>
      </c>
    </row>
    <row r="500" spans="1:12" ht="12.75" customHeight="1">
      <c r="A500" s="90" t="str">
        <f>IF(B500&lt;&gt;"",MAX(A$28:A499)+1,IF(ISNA(HLOOKUP(DATE(YEAR($C$21),MONTH(C500),DAY(C500)),$C$21:$N$21,1,0)),"",MAX(A$28:A499)+1))</f>
        <v/>
      </c>
      <c r="B500" s="91" t="str">
        <f>IF(C500&lt;$K$16,"",IF(ISNA(HLOOKUP(DATE(YEAR($C$20),MONTH($C500),DAY($C500)),$C$20:$N$20,1,0)),"",MAX(B$28:B499)+1))</f>
        <v/>
      </c>
      <c r="C500" s="106">
        <f t="shared" si="76"/>
        <v>56369</v>
      </c>
      <c r="D500" s="795">
        <f t="shared" si="71"/>
        <v>0</v>
      </c>
      <c r="E500" s="795" t="str">
        <f>IF($A500="","",IF($A500=1,D$29*$F500*($C500-$C$28)/$K$17,
(D500*ROUND(($C500-VLOOKUP($A500-1,$A$28:$C500,3,0))/30,0)/12*$F500)
))</f>
        <v/>
      </c>
      <c r="F500" s="107">
        <f t="shared" si="72"/>
        <v>0.06</v>
      </c>
      <c r="G500" s="795">
        <f t="shared" si="68"/>
        <v>0</v>
      </c>
      <c r="H500" s="795">
        <f t="shared" si="73"/>
        <v>0</v>
      </c>
      <c r="I500" s="795">
        <f t="shared" si="74"/>
        <v>0</v>
      </c>
      <c r="J500" s="795">
        <f t="shared" si="75"/>
        <v>0</v>
      </c>
      <c r="K500" s="108">
        <f t="shared" si="69"/>
        <v>2054</v>
      </c>
      <c r="L500" s="92" t="str">
        <f t="shared" si="70"/>
        <v/>
      </c>
    </row>
    <row r="501" spans="1:12">
      <c r="C501" s="103"/>
      <c r="D501" s="797"/>
      <c r="E501" s="798">
        <f>SUM(E28:E500)</f>
        <v>37454.832923673377</v>
      </c>
      <c r="F501" s="105"/>
      <c r="G501" s="797"/>
      <c r="H501" s="797"/>
      <c r="I501" s="797"/>
      <c r="J501" s="797"/>
      <c r="K501" s="105"/>
    </row>
    <row r="502" spans="1:12">
      <c r="C502" s="103"/>
      <c r="D502" s="797"/>
      <c r="E502" s="798"/>
      <c r="F502" s="105"/>
      <c r="G502" s="797"/>
      <c r="H502" s="797"/>
      <c r="I502" s="797"/>
      <c r="J502" s="797"/>
      <c r="K502" s="105"/>
    </row>
    <row r="503" spans="1:12" hidden="1">
      <c r="C503" s="103"/>
      <c r="D503" s="797"/>
      <c r="E503" s="798"/>
      <c r="F503" s="105"/>
      <c r="G503" s="797"/>
      <c r="H503" s="797"/>
      <c r="I503" s="797"/>
      <c r="J503" s="797"/>
      <c r="K503" s="105"/>
    </row>
    <row r="504" spans="1:12" hidden="1">
      <c r="C504" s="103"/>
      <c r="D504" s="797"/>
      <c r="E504" s="798"/>
      <c r="F504" s="105"/>
      <c r="G504" s="797"/>
      <c r="H504" s="797"/>
      <c r="I504" s="797"/>
      <c r="J504" s="797"/>
      <c r="K504" s="105"/>
    </row>
    <row r="505" spans="1:12" hidden="1">
      <c r="C505" s="103"/>
      <c r="D505" s="797"/>
      <c r="E505" s="798"/>
      <c r="F505" s="105"/>
      <c r="G505" s="797"/>
      <c r="H505" s="797"/>
      <c r="I505" s="797"/>
      <c r="J505" s="797"/>
      <c r="K505" s="105"/>
    </row>
    <row r="506" spans="1:12" hidden="1">
      <c r="C506" s="103"/>
      <c r="D506" s="797"/>
      <c r="E506" s="798"/>
      <c r="F506" s="105"/>
      <c r="G506" s="797"/>
      <c r="H506" s="797"/>
      <c r="I506" s="797"/>
      <c r="J506" s="797"/>
      <c r="K506" s="105"/>
    </row>
    <row r="507" spans="1:12" hidden="1">
      <c r="C507" s="103"/>
      <c r="D507" s="797"/>
      <c r="E507" s="798"/>
      <c r="F507" s="105"/>
      <c r="G507" s="797"/>
      <c r="H507" s="797"/>
      <c r="I507" s="797"/>
      <c r="J507" s="797"/>
      <c r="K507" s="105"/>
    </row>
    <row r="508" spans="1:12" hidden="1">
      <c r="C508" s="103"/>
      <c r="D508" s="797"/>
      <c r="E508" s="798"/>
      <c r="F508" s="105"/>
      <c r="G508" s="797"/>
      <c r="H508" s="797"/>
      <c r="I508" s="797"/>
      <c r="J508" s="797"/>
      <c r="K508" s="105"/>
    </row>
    <row r="509" spans="1:12" hidden="1">
      <c r="C509" s="103"/>
      <c r="D509" s="797"/>
      <c r="E509" s="798"/>
      <c r="F509" s="105"/>
      <c r="G509" s="797"/>
      <c r="H509" s="797"/>
      <c r="I509" s="797"/>
      <c r="J509" s="797"/>
      <c r="K509" s="105"/>
    </row>
    <row r="510" spans="1:12" hidden="1">
      <c r="C510" s="103"/>
      <c r="D510" s="797"/>
      <c r="E510" s="798"/>
      <c r="F510" s="105"/>
      <c r="G510" s="797"/>
      <c r="H510" s="797"/>
      <c r="I510" s="797"/>
      <c r="J510" s="797"/>
      <c r="K510" s="105"/>
    </row>
    <row r="511" spans="1:12" hidden="1">
      <c r="C511" s="103"/>
      <c r="D511" s="797"/>
      <c r="E511" s="798"/>
      <c r="F511" s="105"/>
      <c r="G511" s="797"/>
      <c r="H511" s="797"/>
      <c r="I511" s="797"/>
      <c r="J511" s="797"/>
      <c r="K511" s="105"/>
    </row>
    <row r="512" spans="1:12" hidden="1">
      <c r="C512" s="103"/>
      <c r="D512" s="797"/>
      <c r="E512" s="798"/>
      <c r="F512" s="105"/>
      <c r="G512" s="797"/>
      <c r="H512" s="797"/>
      <c r="I512" s="797"/>
      <c r="J512" s="797"/>
      <c r="K512" s="105"/>
    </row>
    <row r="513" spans="3:11" hidden="1">
      <c r="C513" s="103"/>
      <c r="D513" s="797"/>
      <c r="E513" s="798"/>
      <c r="F513" s="105"/>
      <c r="G513" s="797"/>
      <c r="H513" s="797"/>
      <c r="I513" s="797"/>
      <c r="J513" s="797"/>
      <c r="K513" s="105"/>
    </row>
    <row r="514" spans="3:11" hidden="1">
      <c r="C514" s="103"/>
      <c r="D514" s="797"/>
      <c r="E514" s="798"/>
      <c r="F514" s="105"/>
      <c r="G514" s="797"/>
      <c r="H514" s="797"/>
      <c r="I514" s="797"/>
      <c r="J514" s="797"/>
      <c r="K514" s="105"/>
    </row>
    <row r="515" spans="3:11" hidden="1">
      <c r="C515" s="103"/>
      <c r="D515" s="797"/>
      <c r="E515" s="798"/>
      <c r="F515" s="105"/>
      <c r="G515" s="797"/>
      <c r="H515" s="797"/>
      <c r="I515" s="797"/>
      <c r="J515" s="797"/>
      <c r="K515" s="105"/>
    </row>
    <row r="516" spans="3:11" hidden="1">
      <c r="C516" s="103"/>
      <c r="D516" s="797"/>
      <c r="E516" s="798"/>
      <c r="F516" s="105"/>
      <c r="G516" s="797"/>
      <c r="H516" s="797"/>
      <c r="I516" s="797"/>
      <c r="J516" s="797"/>
      <c r="K516" s="105"/>
    </row>
    <row r="517" spans="3:11" hidden="1">
      <c r="C517" s="103"/>
      <c r="D517" s="797"/>
      <c r="E517" s="798"/>
      <c r="F517" s="105"/>
      <c r="G517" s="797"/>
      <c r="H517" s="797"/>
      <c r="I517" s="797"/>
      <c r="J517" s="797"/>
      <c r="K517" s="105"/>
    </row>
  </sheetData>
  <mergeCells count="3">
    <mergeCell ref="A2:B6"/>
    <mergeCell ref="A10:G10"/>
    <mergeCell ref="B12:D12"/>
  </mergeCells>
  <phoneticPr fontId="21" type="noConversion"/>
  <conditionalFormatting sqref="J28:L500 A28:G500">
    <cfRule type="expression" dxfId="8" priority="1" stopIfTrue="1">
      <formula>AND($A28="",$B28="")</formula>
    </cfRule>
  </conditionalFormatting>
  <conditionalFormatting sqref="I27:I500">
    <cfRule type="expression" dxfId="7" priority="2" stopIfTrue="1">
      <formula>AND($A27="",$B27="")</formula>
    </cfRule>
    <cfRule type="expression" dxfId="6" priority="3" stopIfTrue="1">
      <formula>$A$26=2</formula>
    </cfRule>
  </conditionalFormatting>
  <conditionalFormatting sqref="H27:H500">
    <cfRule type="expression" dxfId="5" priority="4" stopIfTrue="1">
      <formula>AND($A27="",$B27="")</formula>
    </cfRule>
    <cfRule type="expression" dxfId="4" priority="5" stopIfTrue="1">
      <formula>$A$26=1</formula>
    </cfRule>
  </conditionalFormatting>
  <conditionalFormatting sqref="K18 F17:H17 A15:B17 E15:E17 C15:D15 K16 D16:D17 C17 H13">
    <cfRule type="expression" dxfId="3" priority="6" stopIfTrue="1">
      <formula>$A$26&gt;2</formula>
    </cfRule>
  </conditionalFormatting>
  <conditionalFormatting sqref="I18:J18 I15:K15 F16:I16">
    <cfRule type="expression" dxfId="2" priority="7" stopIfTrue="1">
      <formula>$A$26&lt;&gt;2</formula>
    </cfRule>
  </conditionalFormatting>
  <conditionalFormatting sqref="F15:H15 F18:H18 C18:D18">
    <cfRule type="expression" dxfId="1" priority="8" stopIfTrue="1">
      <formula>$A$26&gt;1</formula>
    </cfRule>
  </conditionalFormatting>
  <conditionalFormatting sqref="D4:F6">
    <cfRule type="expression" dxfId="0" priority="9" stopIfTrue="1">
      <formula>$F$5="o.k."</formula>
    </cfRule>
  </conditionalFormatting>
  <pageMargins left="0.78740157499999996" right="0.78740157499999996" top="0.984251969" bottom="0.984251969" header="0.4921259845" footer="0.4921259845"/>
  <pageSetup paperSize="9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0" tint="-0.499984740745262"/>
  </sheetPr>
  <dimension ref="A1:E563"/>
  <sheetViews>
    <sheetView showGridLines="0" zoomScale="110" zoomScaleNormal="110" workbookViewId="0">
      <pane xSplit="1" ySplit="2" topLeftCell="C417" activePane="bottomRight" state="frozen"/>
      <selection pane="topRight" activeCell="B1" sqref="B1"/>
      <selection pane="bottomLeft" activeCell="A4" sqref="A4"/>
      <selection pane="bottomRight" activeCell="C425" sqref="C425"/>
    </sheetView>
  </sheetViews>
  <sheetFormatPr baseColWidth="10" defaultColWidth="0" defaultRowHeight="12.75" zeroHeight="1"/>
  <cols>
    <col min="1" max="1" width="20" style="113" customWidth="1"/>
    <col min="2" max="2" width="84.625" style="113" customWidth="1"/>
    <col min="3" max="3" width="67.25" style="113" customWidth="1"/>
    <col min="4" max="4" width="10" style="113" customWidth="1"/>
    <col min="5" max="16384" width="0" style="113" hidden="1"/>
  </cols>
  <sheetData>
    <row r="1" spans="1:3" ht="22.5" customHeight="1">
      <c r="A1" s="628" t="s">
        <v>491</v>
      </c>
      <c r="B1" s="112" t="s">
        <v>111</v>
      </c>
      <c r="C1" s="112" t="s">
        <v>491</v>
      </c>
    </row>
    <row r="2" spans="1:3" ht="18" customHeight="1">
      <c r="A2" s="114"/>
      <c r="B2" s="115">
        <v>1</v>
      </c>
      <c r="C2" s="115">
        <v>2</v>
      </c>
    </row>
    <row r="3" spans="1:3" s="117" customFormat="1" ht="21">
      <c r="A3" s="566" t="str">
        <f t="shared" ref="A3:A35" si="0">INDEX(B3:C3,1,HLOOKUP($A$1,$B$1:$C$2,2,0))</f>
        <v>Input y Resumen de Resultados</v>
      </c>
      <c r="B3" s="567" t="s">
        <v>222</v>
      </c>
      <c r="C3" s="259" t="s">
        <v>834</v>
      </c>
    </row>
    <row r="4" spans="1:3" s="117" customFormat="1" ht="15.75">
      <c r="A4" s="566" t="str">
        <f t="shared" si="0"/>
        <v>Input Info General y de Mercado</v>
      </c>
      <c r="B4" s="259" t="s">
        <v>223</v>
      </c>
      <c r="C4" s="259" t="s">
        <v>835</v>
      </c>
    </row>
    <row r="5" spans="1:3" s="117" customFormat="1" ht="15.75">
      <c r="A5" s="566">
        <f t="shared" si="0"/>
        <v>0</v>
      </c>
      <c r="B5" s="259"/>
      <c r="C5" s="568"/>
    </row>
    <row r="6" spans="1:3" s="117" customFormat="1" ht="15.75">
      <c r="A6" s="566" t="str">
        <f t="shared" si="0"/>
        <v>Inversión</v>
      </c>
      <c r="B6" s="569" t="s">
        <v>164</v>
      </c>
      <c r="C6" s="259" t="s">
        <v>329</v>
      </c>
    </row>
    <row r="7" spans="1:3" s="117" customFormat="1" ht="15.75">
      <c r="A7" s="566" t="str">
        <f t="shared" si="0"/>
        <v>Costos Inversión Inicial</v>
      </c>
      <c r="B7" s="570" t="s">
        <v>150</v>
      </c>
      <c r="C7" s="571" t="s">
        <v>827</v>
      </c>
    </row>
    <row r="8" spans="1:3" s="117" customFormat="1" ht="15.75">
      <c r="A8" s="566" t="str">
        <f t="shared" si="0"/>
        <v>Costos Desarrollo Proyecto</v>
      </c>
      <c r="B8" s="570" t="s">
        <v>41</v>
      </c>
      <c r="C8" s="571" t="s">
        <v>557</v>
      </c>
    </row>
    <row r="9" spans="1:3" s="117" customFormat="1" ht="15.75">
      <c r="A9" s="566" t="str">
        <f t="shared" si="0"/>
        <v>Subsidios al Inicio del Proyecto</v>
      </c>
      <c r="B9" s="570" t="s">
        <v>109</v>
      </c>
      <c r="C9" s="571" t="s">
        <v>330</v>
      </c>
    </row>
    <row r="10" spans="1:3" s="117" customFormat="1" ht="15.75">
      <c r="A10" s="566" t="str">
        <f t="shared" si="0"/>
        <v>Liquidez al Inicio del Proyecto</v>
      </c>
      <c r="B10" s="570" t="s">
        <v>227</v>
      </c>
      <c r="C10" s="571" t="s">
        <v>331</v>
      </c>
    </row>
    <row r="11" spans="1:3" s="117" customFormat="1" ht="15.75">
      <c r="A11" s="566" t="str">
        <f t="shared" si="0"/>
        <v>Costos Total</v>
      </c>
      <c r="B11" s="570" t="s">
        <v>44</v>
      </c>
      <c r="C11" s="571" t="s">
        <v>828</v>
      </c>
    </row>
    <row r="12" spans="1:3" s="117" customFormat="1" ht="15.75">
      <c r="A12" s="566" t="str">
        <f t="shared" si="0"/>
        <v>Valor Residual</v>
      </c>
      <c r="B12" s="572" t="s">
        <v>123</v>
      </c>
      <c r="C12" s="571" t="s">
        <v>829</v>
      </c>
    </row>
    <row r="13" spans="1:3" s="117" customFormat="1" ht="15.75">
      <c r="A13" s="566" t="str">
        <f t="shared" si="0"/>
        <v>Eólico</v>
      </c>
      <c r="B13" s="258" t="s">
        <v>398</v>
      </c>
      <c r="C13" s="568" t="s">
        <v>836</v>
      </c>
    </row>
    <row r="14" spans="1:3" s="117" customFormat="1" ht="15.75">
      <c r="A14" s="566" t="str">
        <f t="shared" si="0"/>
        <v>Ingresos</v>
      </c>
      <c r="B14" s="276" t="s">
        <v>204</v>
      </c>
      <c r="C14" s="259" t="s">
        <v>14</v>
      </c>
    </row>
    <row r="15" spans="1:3" s="117" customFormat="1" ht="15.75">
      <c r="A15" s="566" t="str">
        <f t="shared" si="0"/>
        <v>Tecnología</v>
      </c>
      <c r="B15" s="276" t="s">
        <v>820</v>
      </c>
      <c r="C15" s="259" t="s">
        <v>821</v>
      </c>
    </row>
    <row r="16" spans="1:3" s="117" customFormat="1" ht="15.75">
      <c r="A16" s="566" t="str">
        <f t="shared" si="0"/>
        <v>Ingresos Venta Energía/Ahorro Energía</v>
      </c>
      <c r="B16" s="573" t="s">
        <v>435</v>
      </c>
      <c r="C16" s="571" t="s">
        <v>830</v>
      </c>
    </row>
    <row r="17" spans="1:3" s="117" customFormat="1" ht="15.75">
      <c r="A17" s="566" t="str">
        <f t="shared" si="0"/>
        <v>Otros Ingresos [a]</v>
      </c>
      <c r="B17" s="573" t="s">
        <v>326</v>
      </c>
      <c r="C17" s="571" t="s">
        <v>831</v>
      </c>
    </row>
    <row r="18" spans="1:3" s="117" customFormat="1" ht="15.75">
      <c r="A18" s="566">
        <f t="shared" si="0"/>
        <v>0</v>
      </c>
      <c r="B18" s="258"/>
      <c r="C18" s="568"/>
    </row>
    <row r="19" spans="1:3" s="117" customFormat="1" ht="15.75">
      <c r="A19" s="566" t="str">
        <f t="shared" si="0"/>
        <v>Costos de Operación y Mantenimiento</v>
      </c>
      <c r="B19" s="574" t="s">
        <v>202</v>
      </c>
      <c r="C19" s="259" t="s">
        <v>333</v>
      </c>
    </row>
    <row r="20" spans="1:3" s="117" customFormat="1" ht="15.75">
      <c r="A20" s="566" t="str">
        <f t="shared" si="0"/>
        <v>Costos RRHH</v>
      </c>
      <c r="B20" s="575" t="s">
        <v>130</v>
      </c>
      <c r="C20" s="571" t="s">
        <v>709</v>
      </c>
    </row>
    <row r="21" spans="1:3" s="117" customFormat="1" ht="15.75">
      <c r="A21" s="566" t="str">
        <f t="shared" si="0"/>
        <v>Costos Administrativos</v>
      </c>
      <c r="B21" s="575" t="s">
        <v>131</v>
      </c>
      <c r="C21" s="571" t="s">
        <v>335</v>
      </c>
    </row>
    <row r="22" spans="1:3" s="117" customFormat="1" ht="15.75">
      <c r="A22" s="566" t="str">
        <f t="shared" si="0"/>
        <v>Costos Mantención</v>
      </c>
      <c r="B22" s="575" t="s">
        <v>132</v>
      </c>
      <c r="C22" s="571" t="s">
        <v>684</v>
      </c>
    </row>
    <row r="23" spans="1:3" s="117" customFormat="1" ht="15.75">
      <c r="A23" s="566" t="str">
        <f t="shared" si="0"/>
        <v>Costos Combustible</v>
      </c>
      <c r="B23" s="575" t="s">
        <v>410</v>
      </c>
      <c r="C23" s="571" t="s">
        <v>710</v>
      </c>
    </row>
    <row r="24" spans="1:3" s="117" customFormat="1" ht="15.75">
      <c r="A24" s="566">
        <f t="shared" si="0"/>
        <v>0</v>
      </c>
      <c r="B24" s="575"/>
      <c r="C24" s="568"/>
    </row>
    <row r="25" spans="1:3" s="117" customFormat="1" ht="15.75">
      <c r="A25" s="566" t="str">
        <f t="shared" si="0"/>
        <v>Arriendo</v>
      </c>
      <c r="B25" s="575" t="s">
        <v>113</v>
      </c>
      <c r="C25" s="571" t="s">
        <v>500</v>
      </c>
    </row>
    <row r="26" spans="1:3" s="117" customFormat="1" ht="15.75">
      <c r="A26" s="566" t="str">
        <f t="shared" si="0"/>
        <v>Provisiones para Desmantelamiento (% de la Inversion)</v>
      </c>
      <c r="B26" s="575" t="s">
        <v>52</v>
      </c>
      <c r="C26" s="571" t="s">
        <v>711</v>
      </c>
    </row>
    <row r="27" spans="1:3" s="117" customFormat="1" ht="15.75">
      <c r="A27" s="566">
        <f t="shared" si="0"/>
        <v>0</v>
      </c>
      <c r="B27" s="575"/>
      <c r="C27" s="568"/>
    </row>
    <row r="28" spans="1:3" s="117" customFormat="1" ht="15.75">
      <c r="A28" s="566" t="str">
        <f t="shared" si="0"/>
        <v>Financiamiento</v>
      </c>
      <c r="B28" s="576" t="s">
        <v>61</v>
      </c>
      <c r="C28" s="259" t="s">
        <v>501</v>
      </c>
    </row>
    <row r="29" spans="1:3" s="117" customFormat="1" ht="15.75">
      <c r="A29" s="566" t="str">
        <f t="shared" si="0"/>
        <v>Tasa de Endeudamiento</v>
      </c>
      <c r="B29" s="279" t="s">
        <v>126</v>
      </c>
      <c r="C29" s="571" t="s">
        <v>336</v>
      </c>
    </row>
    <row r="30" spans="1:3" s="117" customFormat="1" ht="15.75">
      <c r="A30" s="566" t="str">
        <f t="shared" si="0"/>
        <v>Capital Externo</v>
      </c>
      <c r="B30" s="279" t="s">
        <v>125</v>
      </c>
      <c r="C30" s="571" t="s">
        <v>862</v>
      </c>
    </row>
    <row r="31" spans="1:3" s="117" customFormat="1" ht="15.75">
      <c r="A31" s="566" t="str">
        <f t="shared" si="0"/>
        <v xml:space="preserve">Capital Propio </v>
      </c>
      <c r="B31" s="279" t="s">
        <v>110</v>
      </c>
      <c r="C31" s="571" t="s">
        <v>502</v>
      </c>
    </row>
    <row r="32" spans="1:3" s="117" customFormat="1" ht="15.75">
      <c r="A32" s="566" t="str">
        <f t="shared" si="0"/>
        <v>Plazo Crédito (en años)</v>
      </c>
      <c r="B32" s="279" t="s">
        <v>160</v>
      </c>
      <c r="C32" s="571" t="s">
        <v>712</v>
      </c>
    </row>
    <row r="33" spans="1:3" s="117" customFormat="1" ht="15.75">
      <c r="A33" s="566" t="str">
        <f t="shared" si="0"/>
        <v>Años con Tasa fija de Interés</v>
      </c>
      <c r="B33" s="279" t="s">
        <v>161</v>
      </c>
      <c r="C33" s="571" t="s">
        <v>713</v>
      </c>
    </row>
    <row r="34" spans="1:3" s="117" customFormat="1" ht="15.75">
      <c r="A34" s="566" t="str">
        <f t="shared" si="0"/>
        <v>Periodo de Gracia (en años)</v>
      </c>
      <c r="B34" s="279" t="s">
        <v>45</v>
      </c>
      <c r="C34" s="571" t="s">
        <v>838</v>
      </c>
    </row>
    <row r="35" spans="1:3" s="117" customFormat="1" ht="15.75">
      <c r="A35" s="566" t="str">
        <f t="shared" si="0"/>
        <v>Tipo Crédito</v>
      </c>
      <c r="B35" s="279" t="s">
        <v>273</v>
      </c>
      <c r="C35" s="571" t="s">
        <v>714</v>
      </c>
    </row>
    <row r="36" spans="1:3" s="117" customFormat="1" ht="15.75">
      <c r="A36" s="566" t="str">
        <f t="shared" ref="A36:A67" si="1">INDEX(B36:C36,1,HLOOKUP($A$1,$B$1:$C$2,2,0))</f>
        <v>Tasa de Interés</v>
      </c>
      <c r="B36" s="279" t="s">
        <v>128</v>
      </c>
      <c r="C36" s="571" t="s">
        <v>337</v>
      </c>
    </row>
    <row r="37" spans="1:3" s="117" customFormat="1" ht="15.75">
      <c r="A37" s="566" t="str">
        <f t="shared" si="1"/>
        <v>Tasa Interés después de Periodo Tasa Fija</v>
      </c>
      <c r="B37" s="279" t="s">
        <v>127</v>
      </c>
      <c r="C37" s="571" t="s">
        <v>542</v>
      </c>
    </row>
    <row r="38" spans="1:3" s="117" customFormat="1" ht="15.75">
      <c r="A38" s="566" t="str">
        <f t="shared" si="1"/>
        <v>Mes Inicio del Credito</v>
      </c>
      <c r="B38" s="279" t="s">
        <v>106</v>
      </c>
      <c r="C38" s="571" t="s">
        <v>715</v>
      </c>
    </row>
    <row r="39" spans="1:3" s="117" customFormat="1" ht="15.75">
      <c r="A39" s="566" t="str">
        <f t="shared" si="1"/>
        <v>Desembolso del Credito (en %)</v>
      </c>
      <c r="B39" s="279" t="s">
        <v>274</v>
      </c>
      <c r="C39" s="571" t="s">
        <v>338</v>
      </c>
    </row>
    <row r="40" spans="1:3" s="117" customFormat="1" ht="15.75">
      <c r="A40" s="566" t="str">
        <f t="shared" si="1"/>
        <v>Criterio Índice de Corbertura de Servicio de Deuda</v>
      </c>
      <c r="B40" s="577" t="s">
        <v>40</v>
      </c>
      <c r="C40" s="571" t="s">
        <v>832</v>
      </c>
    </row>
    <row r="41" spans="1:3" s="117" customFormat="1" ht="15.75">
      <c r="A41" s="566">
        <f t="shared" si="1"/>
        <v>0</v>
      </c>
      <c r="B41" s="258"/>
      <c r="C41" s="568"/>
    </row>
    <row r="42" spans="1:3" s="117" customFormat="1" ht="15.75">
      <c r="A42" s="566" t="str">
        <f t="shared" si="1"/>
        <v>Parámetros</v>
      </c>
      <c r="B42" s="578" t="s">
        <v>224</v>
      </c>
      <c r="C42" s="259" t="s">
        <v>503</v>
      </c>
    </row>
    <row r="43" spans="1:3" s="117" customFormat="1" ht="15.75">
      <c r="A43" s="566" t="str">
        <f t="shared" si="1"/>
        <v>Tasa de Descuento (%)</v>
      </c>
      <c r="B43" s="579" t="s">
        <v>146</v>
      </c>
      <c r="C43" s="571" t="s">
        <v>339</v>
      </c>
    </row>
    <row r="44" spans="1:3" s="117" customFormat="1" ht="15.75">
      <c r="A44" s="566" t="str">
        <f t="shared" si="1"/>
        <v>Inflación (%)</v>
      </c>
      <c r="B44" s="579" t="s">
        <v>120</v>
      </c>
      <c r="C44" s="571" t="s">
        <v>340</v>
      </c>
    </row>
    <row r="45" spans="1:3" s="117" customFormat="1" ht="15.75">
      <c r="A45" s="566" t="str">
        <f t="shared" si="1"/>
        <v>Incremento Precio Energía</v>
      </c>
      <c r="B45" s="579" t="s">
        <v>226</v>
      </c>
      <c r="C45" s="571" t="s">
        <v>837</v>
      </c>
    </row>
    <row r="46" spans="1:3" s="117" customFormat="1" ht="15.75">
      <c r="A46" s="566" t="str">
        <f t="shared" si="1"/>
        <v>Vida Util Equipos/Planta (en años)</v>
      </c>
      <c r="B46" s="579" t="s">
        <v>121</v>
      </c>
      <c r="C46" s="571" t="s">
        <v>728</v>
      </c>
    </row>
    <row r="47" spans="1:3" s="117" customFormat="1" ht="15.75">
      <c r="A47" s="566">
        <f t="shared" si="1"/>
        <v>0</v>
      </c>
      <c r="B47" s="258"/>
      <c r="C47" s="568"/>
    </row>
    <row r="48" spans="1:3" s="117" customFormat="1" ht="15.75">
      <c r="A48" s="566" t="str">
        <f t="shared" si="1"/>
        <v>Impuestos</v>
      </c>
      <c r="B48" s="580" t="s">
        <v>203</v>
      </c>
      <c r="C48" s="259" t="s">
        <v>341</v>
      </c>
    </row>
    <row r="49" spans="1:3" s="117" customFormat="1" ht="15.75">
      <c r="A49" s="566" t="str">
        <f t="shared" si="1"/>
        <v>Tasa de Impuestos (%)</v>
      </c>
      <c r="B49" s="581" t="s">
        <v>49</v>
      </c>
      <c r="C49" s="571" t="s">
        <v>342</v>
      </c>
    </row>
    <row r="50" spans="1:3" s="117" customFormat="1" ht="15.75">
      <c r="A50" s="566" t="str">
        <f t="shared" si="1"/>
        <v>Utilidad libre de Impuestos</v>
      </c>
      <c r="B50" s="581" t="s">
        <v>50</v>
      </c>
      <c r="C50" s="571" t="s">
        <v>343</v>
      </c>
    </row>
    <row r="51" spans="1:3" s="117" customFormat="1" ht="15.75">
      <c r="A51" s="566">
        <f t="shared" si="1"/>
        <v>0</v>
      </c>
      <c r="B51" s="581"/>
      <c r="C51" s="568"/>
    </row>
    <row r="52" spans="1:3" s="117" customFormat="1" ht="15.75">
      <c r="A52" s="566" t="str">
        <f t="shared" si="1"/>
        <v>Año Inicio Proyecto</v>
      </c>
      <c r="B52" s="259" t="s">
        <v>247</v>
      </c>
      <c r="C52" s="571" t="s">
        <v>716</v>
      </c>
    </row>
    <row r="53" spans="1:3" s="117" customFormat="1" ht="15.75">
      <c r="A53" s="566">
        <f t="shared" si="1"/>
        <v>0</v>
      </c>
      <c r="B53" s="398"/>
      <c r="C53" s="568"/>
    </row>
    <row r="54" spans="1:3" s="117" customFormat="1" ht="15.75">
      <c r="A54" s="566" t="str">
        <f t="shared" si="1"/>
        <v>Valor Inicial</v>
      </c>
      <c r="B54" s="259" t="s">
        <v>230</v>
      </c>
      <c r="C54" s="571" t="s">
        <v>764</v>
      </c>
    </row>
    <row r="55" spans="1:3" s="117" customFormat="1" ht="15.75">
      <c r="A55" s="566" t="str">
        <f t="shared" si="1"/>
        <v>Variante (sensibilidad)</v>
      </c>
      <c r="B55" s="578" t="s">
        <v>231</v>
      </c>
      <c r="C55" s="571" t="s">
        <v>344</v>
      </c>
    </row>
    <row r="56" spans="1:3" s="117" customFormat="1" ht="15.75">
      <c r="A56" s="566">
        <f t="shared" si="1"/>
        <v>0</v>
      </c>
      <c r="B56" s="398"/>
      <c r="C56" s="568"/>
    </row>
    <row r="57" spans="1:3" s="117" customFormat="1" ht="15.75">
      <c r="A57" s="566" t="str">
        <f t="shared" si="1"/>
        <v>Periodo Amortización Simple</v>
      </c>
      <c r="B57" s="582" t="s">
        <v>420</v>
      </c>
      <c r="C57" s="571" t="s">
        <v>717</v>
      </c>
    </row>
    <row r="58" spans="1:3" s="117" customFormat="1" ht="15.75">
      <c r="A58" s="566" t="str">
        <f t="shared" si="1"/>
        <v>Periodo Amortización con Valores Descontados</v>
      </c>
      <c r="B58" s="582" t="s">
        <v>768</v>
      </c>
      <c r="C58" s="571" t="s">
        <v>718</v>
      </c>
    </row>
    <row r="59" spans="1:3" s="117" customFormat="1" ht="15.75">
      <c r="A59" s="566" t="str">
        <f t="shared" si="1"/>
        <v>TIR -Tasa Interna de Retorno</v>
      </c>
      <c r="B59" s="582" t="s">
        <v>328</v>
      </c>
      <c r="C59" s="571" t="s">
        <v>840</v>
      </c>
    </row>
    <row r="60" spans="1:3" s="117" customFormat="1" ht="15.75">
      <c r="A60" s="566" t="str">
        <f t="shared" si="1"/>
        <v>VPN -Valor Presente Neto</v>
      </c>
      <c r="B60" s="582" t="s">
        <v>775</v>
      </c>
      <c r="C60" s="583" t="s">
        <v>841</v>
      </c>
    </row>
    <row r="61" spans="1:3" s="117" customFormat="1" ht="15.75">
      <c r="A61" s="566" t="str">
        <f t="shared" si="1"/>
        <v>Liquidez Mínima</v>
      </c>
      <c r="B61" s="582" t="s">
        <v>237</v>
      </c>
      <c r="C61" s="571" t="s">
        <v>529</v>
      </c>
    </row>
    <row r="62" spans="1:3" s="117" customFormat="1" ht="15.75">
      <c r="A62" s="566" t="str">
        <f t="shared" si="1"/>
        <v>Resultados</v>
      </c>
      <c r="B62" s="571" t="s">
        <v>225</v>
      </c>
      <c r="C62" s="571" t="s">
        <v>346</v>
      </c>
    </row>
    <row r="63" spans="1:3" s="117" customFormat="1" ht="15.75">
      <c r="A63" s="566" t="str">
        <f t="shared" si="1"/>
        <v>Valor Inicial</v>
      </c>
      <c r="B63" s="571" t="s">
        <v>230</v>
      </c>
      <c r="C63" s="571" t="s">
        <v>764</v>
      </c>
    </row>
    <row r="64" spans="1:3" s="117" customFormat="1" ht="15.75">
      <c r="A64" s="566" t="str">
        <f t="shared" si="1"/>
        <v>Variante de Sensibilidad</v>
      </c>
      <c r="B64" s="571" t="s">
        <v>228</v>
      </c>
      <c r="C64" s="583" t="s">
        <v>347</v>
      </c>
    </row>
    <row r="65" spans="1:3" s="117" customFormat="1" ht="15.75">
      <c r="A65" s="566" t="str">
        <f t="shared" si="1"/>
        <v>Resumen de Resultados</v>
      </c>
      <c r="B65" s="571" t="s">
        <v>229</v>
      </c>
      <c r="C65" s="571" t="s">
        <v>348</v>
      </c>
    </row>
    <row r="66" spans="1:3" s="117" customFormat="1" ht="15.75">
      <c r="A66" s="584" t="str">
        <f t="shared" si="1"/>
        <v>Gráficos</v>
      </c>
      <c r="B66" s="566" t="s">
        <v>289</v>
      </c>
      <c r="C66" s="571" t="s">
        <v>719</v>
      </c>
    </row>
    <row r="67" spans="1:3" s="117" customFormat="1" ht="15.75">
      <c r="A67" s="566" t="str">
        <f t="shared" si="1"/>
        <v>Utilidad Anual Después de Impuestos (US$)</v>
      </c>
      <c r="B67" s="585" t="s">
        <v>290</v>
      </c>
      <c r="C67" s="571" t="s">
        <v>720</v>
      </c>
    </row>
    <row r="68" spans="1:3" s="117" customFormat="1" ht="15.75">
      <c r="A68" s="566" t="str">
        <f t="shared" ref="A68:A94" si="2">INDEX(B68:C68,1,HLOOKUP($A$1,$B$1:$C$2,2,0))</f>
        <v>Utilidad Anual Escenario Base</v>
      </c>
      <c r="B68" s="586" t="s">
        <v>233</v>
      </c>
      <c r="C68" s="571" t="s">
        <v>504</v>
      </c>
    </row>
    <row r="69" spans="1:3" s="117" customFormat="1" ht="15.75">
      <c r="A69" s="566" t="str">
        <f t="shared" si="2"/>
        <v>Utilidad Anual Escenario Sensibilidad</v>
      </c>
      <c r="B69" s="586" t="s">
        <v>234</v>
      </c>
      <c r="C69" s="571" t="s">
        <v>505</v>
      </c>
    </row>
    <row r="70" spans="1:3" s="117" customFormat="1" ht="15.75">
      <c r="A70" s="566" t="str">
        <f t="shared" si="2"/>
        <v>Utilidad Acumulada Después de Impuestos (US$)</v>
      </c>
      <c r="B70" s="586" t="s">
        <v>291</v>
      </c>
      <c r="C70" s="571" t="s">
        <v>506</v>
      </c>
    </row>
    <row r="71" spans="1:3" s="117" customFormat="1" ht="15.75">
      <c r="A71" s="566" t="str">
        <f t="shared" si="2"/>
        <v>Utilidad Acumulada Valores de Salida</v>
      </c>
      <c r="B71" s="586" t="s">
        <v>235</v>
      </c>
      <c r="C71" s="571" t="s">
        <v>349</v>
      </c>
    </row>
    <row r="72" spans="1:3" s="117" customFormat="1" ht="15.75">
      <c r="A72" s="566" t="str">
        <f t="shared" si="2"/>
        <v>Utilidad Acumulada Método Cálculo de Variantes</v>
      </c>
      <c r="B72" s="586" t="s">
        <v>236</v>
      </c>
      <c r="C72" s="587" t="s">
        <v>721</v>
      </c>
    </row>
    <row r="73" spans="1:3" s="117" customFormat="1" ht="15.75">
      <c r="A73" s="566" t="str">
        <f t="shared" si="2"/>
        <v>Desempeño DSCR en Caso Base y Bajo Supuestos de Cálculo de Sensibilidad</v>
      </c>
      <c r="B73" s="586" t="s">
        <v>292</v>
      </c>
      <c r="C73" s="571" t="s">
        <v>530</v>
      </c>
    </row>
    <row r="74" spans="1:3" s="117" customFormat="1" ht="15.75">
      <c r="A74" s="566" t="str">
        <f t="shared" si="2"/>
        <v>DSCR de Valores Iniciales</v>
      </c>
      <c r="B74" s="586" t="s">
        <v>244</v>
      </c>
      <c r="C74" s="571" t="s">
        <v>350</v>
      </c>
    </row>
    <row r="75" spans="1:3" s="117" customFormat="1" ht="15.75">
      <c r="A75" s="566" t="str">
        <f t="shared" si="2"/>
        <v>DSCR Método Cálculo de Sensibilidad</v>
      </c>
      <c r="B75" s="586" t="s">
        <v>245</v>
      </c>
      <c r="C75" s="571" t="s">
        <v>722</v>
      </c>
    </row>
    <row r="76" spans="1:3" s="117" customFormat="1" ht="15.75">
      <c r="A76" s="566" t="str">
        <f t="shared" si="2"/>
        <v>Banda de Medición</v>
      </c>
      <c r="B76" s="586" t="s">
        <v>396</v>
      </c>
      <c r="C76" s="587" t="s">
        <v>811</v>
      </c>
    </row>
    <row r="77" spans="1:3" s="117" customFormat="1">
      <c r="A77" s="588" t="str">
        <f t="shared" si="2"/>
        <v>Dia Sensibilidad</v>
      </c>
      <c r="B77" s="588" t="s">
        <v>303</v>
      </c>
      <c r="C77" s="588" t="s">
        <v>351</v>
      </c>
    </row>
    <row r="78" spans="1:3" s="117" customFormat="1" ht="15.75">
      <c r="A78" s="566" t="str">
        <f t="shared" si="2"/>
        <v>Sensibilidad Periodo de Amortización</v>
      </c>
      <c r="B78" s="586" t="s">
        <v>293</v>
      </c>
      <c r="C78" s="571" t="s">
        <v>723</v>
      </c>
    </row>
    <row r="79" spans="1:3" s="117" customFormat="1" ht="13.5" customHeight="1">
      <c r="A79" s="566" t="str">
        <f t="shared" si="2"/>
        <v>Periodo de Amortización vs. Variación de Ingresos</v>
      </c>
      <c r="B79" s="586" t="s">
        <v>294</v>
      </c>
      <c r="C79" s="589" t="s">
        <v>353</v>
      </c>
    </row>
    <row r="80" spans="1:3" s="117" customFormat="1" ht="13.5" customHeight="1">
      <c r="A80" s="566" t="str">
        <f t="shared" si="2"/>
        <v>Periodo de Amortización (años)</v>
      </c>
      <c r="B80" s="586" t="s">
        <v>295</v>
      </c>
      <c r="C80" s="590" t="s">
        <v>724</v>
      </c>
    </row>
    <row r="81" spans="1:3" s="117" customFormat="1" ht="13.5" customHeight="1">
      <c r="A81" s="566" t="str">
        <f t="shared" si="2"/>
        <v>% Variación</v>
      </c>
      <c r="B81" s="586" t="s">
        <v>296</v>
      </c>
      <c r="C81" s="571" t="s">
        <v>355</v>
      </c>
    </row>
    <row r="82" spans="1:3" s="117" customFormat="1" ht="13.5" customHeight="1">
      <c r="A82" s="566" t="str">
        <f t="shared" si="2"/>
        <v>Periodo de Amortización vs. Variación de Costos para Mantención y Reparación</v>
      </c>
      <c r="B82" s="586" t="s">
        <v>327</v>
      </c>
      <c r="C82" s="589" t="s">
        <v>507</v>
      </c>
    </row>
    <row r="83" spans="1:3" s="117" customFormat="1" ht="13.5" customHeight="1">
      <c r="A83" s="566" t="str">
        <f t="shared" si="2"/>
        <v>Periodo de Amortización en Años</v>
      </c>
      <c r="B83" s="586" t="s">
        <v>295</v>
      </c>
      <c r="C83" s="589" t="s">
        <v>354</v>
      </c>
    </row>
    <row r="84" spans="1:3" s="117" customFormat="1" ht="13.5" customHeight="1">
      <c r="A84" s="566" t="str">
        <f t="shared" si="2"/>
        <v>% Variación</v>
      </c>
      <c r="B84" s="586" t="s">
        <v>296</v>
      </c>
      <c r="C84" s="571" t="s">
        <v>355</v>
      </c>
    </row>
    <row r="85" spans="1:3" s="117" customFormat="1" ht="13.5" customHeight="1">
      <c r="A85" s="566" t="str">
        <f t="shared" si="2"/>
        <v>Sensibilidad Valor Presente Neto</v>
      </c>
      <c r="B85" s="586" t="s">
        <v>297</v>
      </c>
      <c r="C85" s="571" t="s">
        <v>725</v>
      </c>
    </row>
    <row r="86" spans="1:3" s="117" customFormat="1" ht="13.5" customHeight="1">
      <c r="A86" s="566" t="str">
        <f t="shared" si="2"/>
        <v>Valor Presente Neto en Función de la Variación de los Subsidios</v>
      </c>
      <c r="B86" s="586" t="s">
        <v>298</v>
      </c>
      <c r="C86" s="589" t="s">
        <v>508</v>
      </c>
    </row>
    <row r="87" spans="1:3" s="117" customFormat="1" ht="13.5" customHeight="1">
      <c r="A87" s="566" t="str">
        <f t="shared" si="2"/>
        <v>Valor Presente Neto en US$</v>
      </c>
      <c r="B87" s="586" t="s">
        <v>299</v>
      </c>
      <c r="C87" s="571" t="s">
        <v>356</v>
      </c>
    </row>
    <row r="88" spans="1:3" s="117" customFormat="1" ht="13.5" customHeight="1">
      <c r="A88" s="566" t="str">
        <f t="shared" si="2"/>
        <v>% Variación</v>
      </c>
      <c r="B88" s="586" t="s">
        <v>296</v>
      </c>
      <c r="C88" s="571" t="s">
        <v>355</v>
      </c>
    </row>
    <row r="89" spans="1:3" s="117" customFormat="1" ht="13.5" customHeight="1">
      <c r="A89" s="566" t="str">
        <f t="shared" si="2"/>
        <v>Sensibilidad del Valor Presente Neto en Función de los Costos de Inversión</v>
      </c>
      <c r="B89" s="586" t="s">
        <v>300</v>
      </c>
      <c r="C89" s="591" t="s">
        <v>509</v>
      </c>
    </row>
    <row r="90" spans="1:3" s="117" customFormat="1" ht="13.5" customHeight="1">
      <c r="A90" s="566" t="str">
        <f t="shared" si="2"/>
        <v>Valor Presente Neto en US$</v>
      </c>
      <c r="B90" s="586" t="s">
        <v>301</v>
      </c>
      <c r="C90" s="571" t="s">
        <v>356</v>
      </c>
    </row>
    <row r="91" spans="1:3" s="117" customFormat="1" ht="13.5" customHeight="1">
      <c r="A91" s="566" t="str">
        <f t="shared" si="2"/>
        <v>% Variación</v>
      </c>
      <c r="B91" s="586" t="s">
        <v>296</v>
      </c>
      <c r="C91" s="571" t="s">
        <v>355</v>
      </c>
    </row>
    <row r="92" spans="1:3" s="117" customFormat="1" ht="13.5" customHeight="1">
      <c r="A92" s="566" t="str">
        <f t="shared" si="2"/>
        <v>Valor Presente Neto en Función de la Tasa de Descuento</v>
      </c>
      <c r="B92" s="586" t="s">
        <v>302</v>
      </c>
      <c r="C92" s="589" t="s">
        <v>510</v>
      </c>
    </row>
    <row r="93" spans="1:3" s="117" customFormat="1" ht="13.5" customHeight="1">
      <c r="A93" s="566" t="str">
        <f t="shared" si="2"/>
        <v>Valor Presente Neto en US$</v>
      </c>
      <c r="B93" s="586" t="s">
        <v>301</v>
      </c>
      <c r="C93" s="571" t="s">
        <v>356</v>
      </c>
    </row>
    <row r="94" spans="1:3" s="117" customFormat="1" ht="13.5" customHeight="1">
      <c r="A94" s="566" t="str">
        <f t="shared" si="2"/>
        <v>% Variación</v>
      </c>
      <c r="B94" s="586" t="s">
        <v>296</v>
      </c>
      <c r="C94" s="571" t="s">
        <v>355</v>
      </c>
    </row>
    <row r="95" spans="1:3" s="117" customFormat="1" ht="13.5" customHeight="1">
      <c r="A95" s="566"/>
      <c r="B95" s="566"/>
      <c r="C95" s="566"/>
    </row>
    <row r="96" spans="1:3" s="116" customFormat="1">
      <c r="A96" s="588" t="s">
        <v>248</v>
      </c>
      <c r="B96" s="588"/>
      <c r="C96" s="588"/>
    </row>
    <row r="97" spans="1:3" s="116" customFormat="1" ht="15.75">
      <c r="A97" s="566" t="str">
        <f t="shared" ref="A97:A131" si="3">INDEX(B97:C97,1,HLOOKUP($A$1,$B$1:$C$2,2,0))</f>
        <v>Costos RRHH y Administrativos</v>
      </c>
      <c r="B97" s="592" t="s">
        <v>457</v>
      </c>
      <c r="C97" s="571" t="s">
        <v>810</v>
      </c>
    </row>
    <row r="98" spans="1:3" s="116" customFormat="1" ht="15.75">
      <c r="A98" s="566" t="str">
        <f t="shared" si="3"/>
        <v>$/Mes</v>
      </c>
      <c r="B98" s="592" t="s">
        <v>270</v>
      </c>
      <c r="C98" s="571" t="s">
        <v>511</v>
      </c>
    </row>
    <row r="99" spans="1:3" s="116" customFormat="1" ht="15.75">
      <c r="A99" s="566" t="str">
        <f t="shared" si="3"/>
        <v>$/Año</v>
      </c>
      <c r="B99" s="592" t="s">
        <v>271</v>
      </c>
      <c r="C99" s="571" t="s">
        <v>512</v>
      </c>
    </row>
    <row r="100" spans="1:3" s="116" customFormat="1" ht="15.75">
      <c r="A100" s="566" t="str">
        <f t="shared" si="3"/>
        <v>Costos Anuales</v>
      </c>
      <c r="B100" s="593" t="s">
        <v>272</v>
      </c>
      <c r="C100" s="571" t="s">
        <v>513</v>
      </c>
    </row>
    <row r="101" spans="1:3" s="116" customFormat="1" ht="15.75">
      <c r="A101" s="566" t="str">
        <f t="shared" si="3"/>
        <v>Costos RRHH</v>
      </c>
      <c r="B101" s="592" t="s">
        <v>130</v>
      </c>
      <c r="C101" s="571" t="s">
        <v>709</v>
      </c>
    </row>
    <row r="102" spans="1:3" ht="15.75">
      <c r="A102" s="566" t="str">
        <f t="shared" si="3"/>
        <v>Salario Posición 1 ($/Mes por persona)</v>
      </c>
      <c r="B102" s="594" t="s">
        <v>249</v>
      </c>
      <c r="C102" s="571" t="s">
        <v>531</v>
      </c>
    </row>
    <row r="103" spans="1:3" ht="15.75">
      <c r="A103" s="566" t="str">
        <f t="shared" si="3"/>
        <v>Número de Personas Tiempo Completo</v>
      </c>
      <c r="B103" s="594" t="s">
        <v>250</v>
      </c>
      <c r="C103" s="571" t="s">
        <v>514</v>
      </c>
    </row>
    <row r="104" spans="1:3" ht="15.75">
      <c r="A104" s="566" t="str">
        <f t="shared" si="3"/>
        <v>Total</v>
      </c>
      <c r="B104" s="594" t="s">
        <v>112</v>
      </c>
      <c r="C104" s="571" t="s">
        <v>13</v>
      </c>
    </row>
    <row r="105" spans="1:3" ht="15.75">
      <c r="A105" s="566" t="str">
        <f t="shared" si="3"/>
        <v>Salario Posición 2 ($/Mes por persona)</v>
      </c>
      <c r="B105" s="594" t="s">
        <v>251</v>
      </c>
      <c r="C105" s="571" t="s">
        <v>532</v>
      </c>
    </row>
    <row r="106" spans="1:3" ht="15.75">
      <c r="A106" s="566" t="str">
        <f t="shared" si="3"/>
        <v>Número de Personas Tiempo Completo</v>
      </c>
      <c r="B106" s="594" t="s">
        <v>250</v>
      </c>
      <c r="C106" s="571" t="s">
        <v>514</v>
      </c>
    </row>
    <row r="107" spans="1:3" ht="15.75">
      <c r="A107" s="566" t="str">
        <f t="shared" si="3"/>
        <v>Total</v>
      </c>
      <c r="B107" s="594" t="s">
        <v>112</v>
      </c>
      <c r="C107" s="571" t="s">
        <v>13</v>
      </c>
    </row>
    <row r="108" spans="1:3" ht="15.75">
      <c r="A108" s="566" t="str">
        <f t="shared" si="3"/>
        <v>Salario Posición 3 ($/Mes por persona)</v>
      </c>
      <c r="B108" s="594" t="s">
        <v>254</v>
      </c>
      <c r="C108" s="571" t="s">
        <v>533</v>
      </c>
    </row>
    <row r="109" spans="1:3" ht="15.75">
      <c r="A109" s="566" t="str">
        <f t="shared" si="3"/>
        <v>Número de Personas Tiempo Completo</v>
      </c>
      <c r="B109" s="594" t="s">
        <v>250</v>
      </c>
      <c r="C109" s="571" t="s">
        <v>514</v>
      </c>
    </row>
    <row r="110" spans="1:3" ht="15.75">
      <c r="A110" s="566" t="str">
        <f t="shared" si="3"/>
        <v>Total</v>
      </c>
      <c r="B110" s="594" t="s">
        <v>112</v>
      </c>
      <c r="C110" s="571" t="s">
        <v>13</v>
      </c>
    </row>
    <row r="111" spans="1:3" ht="15.75">
      <c r="A111" s="566" t="str">
        <f t="shared" si="3"/>
        <v>Salario Posición 4 ($/Mes por persona)</v>
      </c>
      <c r="B111" s="594" t="s">
        <v>255</v>
      </c>
      <c r="C111" s="571" t="s">
        <v>534</v>
      </c>
    </row>
    <row r="112" spans="1:3" ht="15.75">
      <c r="A112" s="566" t="str">
        <f t="shared" si="3"/>
        <v>Número de Personas Tiempo Completo</v>
      </c>
      <c r="B112" s="594" t="s">
        <v>250</v>
      </c>
      <c r="C112" s="571" t="s">
        <v>514</v>
      </c>
    </row>
    <row r="113" spans="1:3" ht="15.75">
      <c r="A113" s="566" t="str">
        <f t="shared" si="3"/>
        <v>Total</v>
      </c>
      <c r="B113" s="594" t="s">
        <v>112</v>
      </c>
      <c r="C113" s="571" t="s">
        <v>13</v>
      </c>
    </row>
    <row r="114" spans="1:3" ht="15.75">
      <c r="A114" s="566" t="str">
        <f t="shared" si="3"/>
        <v>Salario Posición 5 ($/Mes por persona)</v>
      </c>
      <c r="B114" s="594" t="s">
        <v>256</v>
      </c>
      <c r="C114" s="571" t="s">
        <v>535</v>
      </c>
    </row>
    <row r="115" spans="1:3" ht="15.75">
      <c r="A115" s="566" t="str">
        <f t="shared" si="3"/>
        <v>Número de Personas Tiempo Completo</v>
      </c>
      <c r="B115" s="594" t="s">
        <v>250</v>
      </c>
      <c r="C115" s="571" t="s">
        <v>514</v>
      </c>
    </row>
    <row r="116" spans="1:3" ht="15.75">
      <c r="A116" s="566" t="str">
        <f t="shared" si="3"/>
        <v>Total</v>
      </c>
      <c r="B116" s="594" t="s">
        <v>112</v>
      </c>
      <c r="C116" s="571" t="s">
        <v>13</v>
      </c>
    </row>
    <row r="117" spans="1:3" ht="15.75">
      <c r="A117" s="566" t="str">
        <f t="shared" si="3"/>
        <v>Otros Costos de Personal ($/Mes)</v>
      </c>
      <c r="B117" s="594" t="s">
        <v>253</v>
      </c>
      <c r="C117" s="571" t="s">
        <v>536</v>
      </c>
    </row>
    <row r="118" spans="1:3" ht="15.75">
      <c r="A118" s="566" t="str">
        <f t="shared" si="3"/>
        <v>Total Costos Personal</v>
      </c>
      <c r="B118" s="594" t="s">
        <v>252</v>
      </c>
      <c r="C118" s="571" t="s">
        <v>515</v>
      </c>
    </row>
    <row r="119" spans="1:3" ht="15.75">
      <c r="A119" s="566" t="str">
        <f t="shared" si="3"/>
        <v>Duración del Proyecto (años)</v>
      </c>
      <c r="B119" s="594" t="s">
        <v>116</v>
      </c>
      <c r="C119" s="571" t="s">
        <v>357</v>
      </c>
    </row>
    <row r="120" spans="1:3" ht="15.75">
      <c r="A120" s="566" t="str">
        <f t="shared" si="3"/>
        <v>Arriendo Oficina</v>
      </c>
      <c r="B120" s="594" t="s">
        <v>257</v>
      </c>
      <c r="C120" s="571" t="s">
        <v>516</v>
      </c>
    </row>
    <row r="121" spans="1:3" ht="15.75">
      <c r="A121" s="566" t="str">
        <f t="shared" si="3"/>
        <v>Costos Administrativos e Insumos</v>
      </c>
      <c r="B121" s="594" t="s">
        <v>258</v>
      </c>
      <c r="C121" s="571" t="s">
        <v>517</v>
      </c>
    </row>
    <row r="122" spans="1:3" ht="15.75">
      <c r="A122" s="566" t="str">
        <f t="shared" si="3"/>
        <v>Costo Categoría 1</v>
      </c>
      <c r="B122" s="594" t="s">
        <v>259</v>
      </c>
      <c r="C122" s="571" t="s">
        <v>518</v>
      </c>
    </row>
    <row r="123" spans="1:3" ht="15.75">
      <c r="A123" s="566" t="str">
        <f t="shared" si="3"/>
        <v>Costo Categoría 2</v>
      </c>
      <c r="B123" s="594" t="s">
        <v>260</v>
      </c>
      <c r="C123" s="571" t="s">
        <v>519</v>
      </c>
    </row>
    <row r="124" spans="1:3" ht="15.75">
      <c r="A124" s="566" t="str">
        <f t="shared" si="3"/>
        <v>Costo Categoría 3</v>
      </c>
      <c r="B124" s="594" t="s">
        <v>261</v>
      </c>
      <c r="C124" s="571" t="s">
        <v>520</v>
      </c>
    </row>
    <row r="125" spans="1:3" ht="15.75">
      <c r="A125" s="566" t="str">
        <f t="shared" si="3"/>
        <v>Costo Categoría 4</v>
      </c>
      <c r="B125" s="594" t="s">
        <v>262</v>
      </c>
      <c r="C125" s="571" t="s">
        <v>521</v>
      </c>
    </row>
    <row r="126" spans="1:3" ht="15.75">
      <c r="A126" s="566" t="str">
        <f t="shared" si="3"/>
        <v>Costo Categoría 5</v>
      </c>
      <c r="B126" s="594" t="s">
        <v>263</v>
      </c>
      <c r="C126" s="571" t="s">
        <v>522</v>
      </c>
    </row>
    <row r="127" spans="1:3" ht="15.75">
      <c r="A127" s="566" t="str">
        <f t="shared" si="3"/>
        <v>Costo Categoría 6</v>
      </c>
      <c r="B127" s="594" t="s">
        <v>264</v>
      </c>
      <c r="C127" s="571" t="s">
        <v>523</v>
      </c>
    </row>
    <row r="128" spans="1:3" ht="15.75">
      <c r="A128" s="566" t="str">
        <f t="shared" si="3"/>
        <v>Otros Costos</v>
      </c>
      <c r="B128" s="594" t="s">
        <v>265</v>
      </c>
      <c r="C128" s="571" t="s">
        <v>524</v>
      </c>
    </row>
    <row r="129" spans="1:3" ht="15.75">
      <c r="A129" s="566" t="str">
        <f t="shared" si="3"/>
        <v>Total Costos Administrativos</v>
      </c>
      <c r="B129" s="594" t="s">
        <v>266</v>
      </c>
      <c r="C129" s="571" t="s">
        <v>525</v>
      </c>
    </row>
    <row r="130" spans="1:3" ht="15.75">
      <c r="A130" s="566" t="str">
        <f t="shared" si="3"/>
        <v>Compilación Costos</v>
      </c>
      <c r="B130" s="594" t="s">
        <v>267</v>
      </c>
      <c r="C130" s="571" t="s">
        <v>726</v>
      </c>
    </row>
    <row r="131" spans="1:3" ht="15.75">
      <c r="A131" s="566" t="str">
        <f t="shared" si="3"/>
        <v>Obras Civiles ($/Mes)</v>
      </c>
      <c r="B131" s="594"/>
      <c r="C131" s="571" t="s">
        <v>526</v>
      </c>
    </row>
    <row r="132" spans="1:3" s="118" customFormat="1">
      <c r="A132" s="588" t="s">
        <v>283</v>
      </c>
      <c r="B132" s="588" t="s">
        <v>283</v>
      </c>
      <c r="C132" s="588" t="s">
        <v>283</v>
      </c>
    </row>
    <row r="133" spans="1:3" ht="15.75">
      <c r="A133" s="566" t="str">
        <f t="shared" ref="A133:A165" si="4">INDEX(B133:C133,1,HLOOKUP($A$1,$B$1:$C$2,2,0))</f>
        <v>Nombre del Proyecto</v>
      </c>
      <c r="B133" s="594" t="s">
        <v>117</v>
      </c>
      <c r="C133" s="571" t="s">
        <v>527</v>
      </c>
    </row>
    <row r="134" spans="1:3" ht="15.75">
      <c r="A134" s="566" t="str">
        <f t="shared" si="4"/>
        <v>Supuestos</v>
      </c>
      <c r="B134" s="594" t="s">
        <v>147</v>
      </c>
      <c r="C134" s="571" t="s">
        <v>17</v>
      </c>
    </row>
    <row r="135" spans="1:3" ht="15.75">
      <c r="A135" s="566" t="str">
        <f t="shared" si="4"/>
        <v>Año Inicio Proyecto</v>
      </c>
      <c r="B135" s="594" t="s">
        <v>118</v>
      </c>
      <c r="C135" s="571" t="s">
        <v>716</v>
      </c>
    </row>
    <row r="136" spans="1:3" ht="15.75">
      <c r="A136" s="566" t="str">
        <f t="shared" si="4"/>
        <v>Tasa de Descuento (%)</v>
      </c>
      <c r="B136" s="594" t="s">
        <v>146</v>
      </c>
      <c r="C136" s="571" t="s">
        <v>339</v>
      </c>
    </row>
    <row r="137" spans="1:3" ht="15.75">
      <c r="A137" s="566" t="str">
        <f t="shared" si="4"/>
        <v>Tasa de Inflación (%)</v>
      </c>
      <c r="B137" s="594" t="s">
        <v>120</v>
      </c>
      <c r="C137" s="571" t="s">
        <v>528</v>
      </c>
    </row>
    <row r="138" spans="1:3" ht="15.75">
      <c r="A138" s="566" t="str">
        <f t="shared" si="4"/>
        <v>Incremento Precio Energía (%)</v>
      </c>
      <c r="B138" s="594" t="s">
        <v>119</v>
      </c>
      <c r="C138" s="571" t="s">
        <v>731</v>
      </c>
    </row>
    <row r="139" spans="1:3" ht="15.75">
      <c r="A139" s="566" t="str">
        <f t="shared" si="4"/>
        <v>Vida Útil Equipos/Planta (en años)</v>
      </c>
      <c r="B139" s="594" t="s">
        <v>121</v>
      </c>
      <c r="C139" s="571" t="s">
        <v>732</v>
      </c>
    </row>
    <row r="140" spans="1:3" ht="15.75">
      <c r="A140" s="566" t="str">
        <f t="shared" si="4"/>
        <v>Tasa de Impuesto (%)</v>
      </c>
      <c r="B140" s="594" t="s">
        <v>49</v>
      </c>
      <c r="C140" s="595" t="s">
        <v>358</v>
      </c>
    </row>
    <row r="141" spans="1:3" ht="15.75">
      <c r="A141" s="566" t="str">
        <f t="shared" si="4"/>
        <v>Utilidad Libre de Impuestos</v>
      </c>
      <c r="B141" s="594" t="s">
        <v>50</v>
      </c>
      <c r="C141" s="571" t="s">
        <v>537</v>
      </c>
    </row>
    <row r="142" spans="1:3" ht="15.75">
      <c r="A142" s="566" t="str">
        <f t="shared" si="4"/>
        <v>Provisiones para Desmantelamiento (% de la Inversion)</v>
      </c>
      <c r="B142" s="594" t="s">
        <v>52</v>
      </c>
      <c r="C142" s="571" t="s">
        <v>711</v>
      </c>
    </row>
    <row r="143" spans="1:3" ht="15.75">
      <c r="A143" s="566" t="str">
        <f t="shared" si="4"/>
        <v>Provisiones para Desmantelamiento (Costo por Años de Vida Util -1 Año)</v>
      </c>
      <c r="B143" s="594" t="s">
        <v>51</v>
      </c>
      <c r="C143" s="571" t="s">
        <v>733</v>
      </c>
    </row>
    <row r="144" spans="1:3" ht="15.75">
      <c r="A144" s="566" t="str">
        <f t="shared" si="4"/>
        <v>Indice de Corbertura Servicio de Deuda</v>
      </c>
      <c r="B144" s="594" t="s">
        <v>40</v>
      </c>
      <c r="C144" s="571" t="s">
        <v>861</v>
      </c>
    </row>
    <row r="145" spans="1:3" ht="15.75">
      <c r="A145" s="566" t="str">
        <f t="shared" si="4"/>
        <v>Costos Iniciales (1er Año)</v>
      </c>
      <c r="B145" s="594" t="s">
        <v>122</v>
      </c>
      <c r="C145" s="571" t="s">
        <v>538</v>
      </c>
    </row>
    <row r="146" spans="1:3" ht="15.75">
      <c r="A146" s="566" t="str">
        <f t="shared" si="4"/>
        <v>Costos Inversión Inicial</v>
      </c>
      <c r="B146" s="594" t="s">
        <v>150</v>
      </c>
      <c r="C146" s="571" t="s">
        <v>827</v>
      </c>
    </row>
    <row r="147" spans="1:3" ht="15.75">
      <c r="A147" s="566" t="str">
        <f t="shared" si="4"/>
        <v>Costos Desarrollo Proyecto</v>
      </c>
      <c r="B147" s="594" t="s">
        <v>41</v>
      </c>
      <c r="C147" s="571" t="s">
        <v>557</v>
      </c>
    </row>
    <row r="148" spans="1:3" ht="15.75">
      <c r="A148" s="566" t="str">
        <f t="shared" si="4"/>
        <v>Subsidios al Inicio del Proyecto</v>
      </c>
      <c r="B148" s="594" t="s">
        <v>109</v>
      </c>
      <c r="C148" s="571" t="s">
        <v>330</v>
      </c>
    </row>
    <row r="149" spans="1:3" ht="15.75">
      <c r="A149" s="566" t="str">
        <f t="shared" si="4"/>
        <v>Costos Totales</v>
      </c>
      <c r="B149" s="594" t="s">
        <v>44</v>
      </c>
      <c r="C149" s="571" t="s">
        <v>332</v>
      </c>
    </row>
    <row r="150" spans="1:3" ht="15.75">
      <c r="A150" s="566" t="str">
        <f t="shared" si="4"/>
        <v>Valor Residual (después de vida útil)</v>
      </c>
      <c r="B150" s="594" t="s">
        <v>123</v>
      </c>
      <c r="C150" s="571" t="s">
        <v>539</v>
      </c>
    </row>
    <row r="151" spans="1:3" ht="15.75">
      <c r="A151" s="566" t="str">
        <f t="shared" si="4"/>
        <v>Ingresos</v>
      </c>
      <c r="B151" s="594" t="s">
        <v>124</v>
      </c>
      <c r="C151" s="571" t="s">
        <v>14</v>
      </c>
    </row>
    <row r="152" spans="1:3" ht="15.75">
      <c r="A152" s="566" t="str">
        <f t="shared" si="4"/>
        <v>Ingresos por Venta/Ahorro Electricidad</v>
      </c>
      <c r="B152" s="594" t="s">
        <v>458</v>
      </c>
      <c r="C152" s="571" t="s">
        <v>540</v>
      </c>
    </row>
    <row r="153" spans="1:3" ht="15.75">
      <c r="A153" s="566" t="str">
        <f t="shared" si="4"/>
        <v>Financiamiento</v>
      </c>
      <c r="B153" s="594" t="s">
        <v>105</v>
      </c>
      <c r="C153" s="595" t="s">
        <v>501</v>
      </c>
    </row>
    <row r="154" spans="1:3" ht="15.75">
      <c r="A154" s="566" t="str">
        <f t="shared" si="4"/>
        <v>Tasa Endeudamiento</v>
      </c>
      <c r="B154" s="594" t="s">
        <v>126</v>
      </c>
      <c r="C154" s="571" t="s">
        <v>734</v>
      </c>
    </row>
    <row r="155" spans="1:3" ht="15.75">
      <c r="A155" s="566" t="str">
        <f t="shared" si="4"/>
        <v>Capital Externo</v>
      </c>
      <c r="B155" s="594" t="s">
        <v>125</v>
      </c>
      <c r="C155" s="571" t="s">
        <v>862</v>
      </c>
    </row>
    <row r="156" spans="1:3" ht="15.75">
      <c r="A156" s="566" t="str">
        <f t="shared" si="4"/>
        <v xml:space="preserve">Capital Propio </v>
      </c>
      <c r="B156" s="594" t="s">
        <v>110</v>
      </c>
      <c r="C156" s="571" t="s">
        <v>502</v>
      </c>
    </row>
    <row r="157" spans="1:3" ht="15.75">
      <c r="A157" s="566" t="str">
        <f t="shared" si="4"/>
        <v>Plazo Crédito (en Años)</v>
      </c>
      <c r="B157" s="594" t="s">
        <v>160</v>
      </c>
      <c r="C157" s="587" t="s">
        <v>554</v>
      </c>
    </row>
    <row r="158" spans="1:3" ht="15.75">
      <c r="A158" s="566" t="str">
        <f t="shared" si="4"/>
        <v>Numero de Años con Tasa Fija de Interés</v>
      </c>
      <c r="B158" s="594" t="s">
        <v>161</v>
      </c>
      <c r="C158" s="571" t="s">
        <v>555</v>
      </c>
    </row>
    <row r="159" spans="1:3" ht="15.75">
      <c r="A159" s="566" t="str">
        <f t="shared" si="4"/>
        <v>Periodo de Gracia</v>
      </c>
      <c r="B159" s="594" t="s">
        <v>45</v>
      </c>
      <c r="C159" s="571" t="s">
        <v>863</v>
      </c>
    </row>
    <row r="160" spans="1:3" ht="15.75">
      <c r="A160" s="566" t="str">
        <f t="shared" si="4"/>
        <v>Tipo Préstamo</v>
      </c>
      <c r="B160" s="594" t="s">
        <v>46</v>
      </c>
      <c r="C160" s="595" t="s">
        <v>735</v>
      </c>
    </row>
    <row r="161" spans="1:3" ht="15.75">
      <c r="A161" s="566" t="str">
        <f t="shared" si="4"/>
        <v>Tasa Interés Crédito (%)</v>
      </c>
      <c r="B161" s="594" t="s">
        <v>128</v>
      </c>
      <c r="C161" s="571" t="s">
        <v>541</v>
      </c>
    </row>
    <row r="162" spans="1:3" ht="15.75">
      <c r="A162" s="566" t="str">
        <f t="shared" si="4"/>
        <v>Tasa Interés después de Periodo Tasa Fija</v>
      </c>
      <c r="B162" s="594" t="s">
        <v>127</v>
      </c>
      <c r="C162" s="571" t="str">
        <f>C37</f>
        <v>Tasa Interés después de Periodo Tasa Fija</v>
      </c>
    </row>
    <row r="163" spans="1:3" ht="15.75">
      <c r="A163" s="566" t="str">
        <f t="shared" si="4"/>
        <v>Mes Inicio Crédito</v>
      </c>
      <c r="B163" s="594" t="s">
        <v>106</v>
      </c>
      <c r="C163" s="595" t="s">
        <v>543</v>
      </c>
    </row>
    <row r="164" spans="1:3" ht="15.75">
      <c r="A164" s="566" t="str">
        <f t="shared" si="4"/>
        <v xml:space="preserve">Pago  </v>
      </c>
      <c r="B164" s="594" t="s">
        <v>67</v>
      </c>
      <c r="C164" s="595" t="s">
        <v>544</v>
      </c>
    </row>
    <row r="165" spans="1:3" ht="15.75">
      <c r="A165" s="566" t="str">
        <f t="shared" si="4"/>
        <v>Cobro por Gestión/Tramitación</v>
      </c>
      <c r="B165" s="745" t="s">
        <v>246</v>
      </c>
      <c r="C165" s="595" t="s">
        <v>867</v>
      </c>
    </row>
    <row r="166" spans="1:3" ht="15.75">
      <c r="A166" s="566" t="str">
        <f t="shared" ref="A166:A198" si="5">INDEX(B166:C166,1,HLOOKUP($A$1,$B$1:$C$2,2,0))</f>
        <v>Costos Operativos</v>
      </c>
      <c r="B166" s="594" t="s">
        <v>133</v>
      </c>
      <c r="C166" s="571" t="s">
        <v>545</v>
      </c>
    </row>
    <row r="167" spans="1:3" ht="15.75">
      <c r="A167" s="566" t="str">
        <f t="shared" si="5"/>
        <v>Periodo</v>
      </c>
      <c r="B167" s="594" t="s">
        <v>129</v>
      </c>
      <c r="C167" s="571" t="s">
        <v>10</v>
      </c>
    </row>
    <row r="168" spans="1:3" ht="15.75">
      <c r="A168" s="566" t="str">
        <f t="shared" si="5"/>
        <v>Año</v>
      </c>
      <c r="B168" s="594" t="s">
        <v>103</v>
      </c>
      <c r="C168" s="571" t="s">
        <v>11</v>
      </c>
    </row>
    <row r="169" spans="1:3" ht="15.75">
      <c r="A169" s="566" t="str">
        <f t="shared" si="5"/>
        <v>Años</v>
      </c>
      <c r="B169" s="594" t="s">
        <v>154</v>
      </c>
      <c r="C169" s="571" t="s">
        <v>359</v>
      </c>
    </row>
    <row r="170" spans="1:3" ht="15.75">
      <c r="A170" s="566" t="str">
        <f t="shared" si="5"/>
        <v>Mes(es)</v>
      </c>
      <c r="B170" s="594" t="s">
        <v>816</v>
      </c>
      <c r="C170" s="571" t="s">
        <v>815</v>
      </c>
    </row>
    <row r="171" spans="1:3" ht="15.75">
      <c r="A171" s="566" t="str">
        <f t="shared" si="5"/>
        <v>NO Rentable Económicamente</v>
      </c>
      <c r="B171" s="594" t="s">
        <v>805</v>
      </c>
      <c r="C171" s="571" t="s">
        <v>814</v>
      </c>
    </row>
    <row r="172" spans="1:3" ht="15.75">
      <c r="A172" s="566" t="str">
        <f t="shared" si="5"/>
        <v xml:space="preserve">Costos RRHH </v>
      </c>
      <c r="B172" s="594" t="s">
        <v>130</v>
      </c>
      <c r="C172" s="571" t="s">
        <v>868</v>
      </c>
    </row>
    <row r="173" spans="1:3" ht="15.75">
      <c r="A173" s="566" t="str">
        <f t="shared" si="5"/>
        <v>Costos Administrativos</v>
      </c>
      <c r="B173" s="594" t="s">
        <v>131</v>
      </c>
      <c r="C173" s="571" t="s">
        <v>335</v>
      </c>
    </row>
    <row r="174" spans="1:3" ht="15.75">
      <c r="A174" s="566" t="str">
        <f t="shared" si="5"/>
        <v>Costos Mantención</v>
      </c>
      <c r="B174" s="596" t="s">
        <v>132</v>
      </c>
      <c r="C174" s="571" t="s">
        <v>684</v>
      </c>
    </row>
    <row r="175" spans="1:3" ht="15.75">
      <c r="A175" s="566" t="str">
        <f t="shared" si="5"/>
        <v>Costos Esporádicos</v>
      </c>
      <c r="B175" s="231" t="s">
        <v>482</v>
      </c>
      <c r="C175" s="571" t="s">
        <v>864</v>
      </c>
    </row>
    <row r="176" spans="1:3" ht="15.75">
      <c r="A176" s="566" t="str">
        <f t="shared" si="5"/>
        <v>Costos Combustible</v>
      </c>
      <c r="B176" s="594" t="s">
        <v>410</v>
      </c>
      <c r="C176" s="571" t="s">
        <v>710</v>
      </c>
    </row>
    <row r="177" spans="1:3" ht="15.75">
      <c r="A177" s="566" t="str">
        <f t="shared" si="5"/>
        <v>Costos Desarrollo Proyecto</v>
      </c>
      <c r="B177" s="594" t="s">
        <v>41</v>
      </c>
      <c r="C177" s="571" t="s">
        <v>557</v>
      </c>
    </row>
    <row r="178" spans="1:3" ht="15.75">
      <c r="A178" s="566" t="str">
        <f t="shared" si="5"/>
        <v>Otros Gastos (Impuestos, Honorarios, Seguros)</v>
      </c>
      <c r="B178" s="596" t="s">
        <v>269</v>
      </c>
      <c r="C178" s="591" t="s">
        <v>548</v>
      </c>
    </row>
    <row r="179" spans="1:3" ht="18">
      <c r="A179" s="566" t="str">
        <f t="shared" si="5"/>
        <v xml:space="preserve">Arriendo  </v>
      </c>
      <c r="B179" s="594" t="s">
        <v>113</v>
      </c>
      <c r="C179" s="597" t="s">
        <v>549</v>
      </c>
    </row>
    <row r="180" spans="1:3" ht="15.75">
      <c r="A180" s="566" t="str">
        <f t="shared" si="5"/>
        <v>Provisiones Desmantelamiento</v>
      </c>
      <c r="B180" s="594" t="s">
        <v>47</v>
      </c>
      <c r="C180" s="591" t="s">
        <v>736</v>
      </c>
    </row>
    <row r="181" spans="1:3" ht="15.75">
      <c r="A181" s="566" t="str">
        <f t="shared" si="5"/>
        <v>Total Costos Operativos</v>
      </c>
      <c r="B181" s="594" t="s">
        <v>134</v>
      </c>
      <c r="C181" s="571" t="s">
        <v>546</v>
      </c>
    </row>
    <row r="182" spans="1:3" ht="15.75">
      <c r="A182" s="566" t="str">
        <f t="shared" si="5"/>
        <v>Con Efecto Sobre la Liquidez</v>
      </c>
      <c r="B182" s="594" t="s">
        <v>33</v>
      </c>
      <c r="C182" s="591" t="s">
        <v>587</v>
      </c>
    </row>
    <row r="183" spans="1:3" ht="15.75">
      <c r="A183" s="566" t="str">
        <f t="shared" si="5"/>
        <v>Sin Efecto Sobre la Liquidez</v>
      </c>
      <c r="B183" s="594" t="s">
        <v>48</v>
      </c>
      <c r="C183" s="589" t="s">
        <v>588</v>
      </c>
    </row>
    <row r="184" spans="1:3" ht="15.75">
      <c r="A184" s="566" t="str">
        <f t="shared" si="5"/>
        <v>Necesidad Liquidez al Inicio del Proyecto</v>
      </c>
      <c r="B184" s="594" t="s">
        <v>238</v>
      </c>
      <c r="C184" s="589" t="s">
        <v>737</v>
      </c>
    </row>
    <row r="185" spans="1:3" ht="15.75">
      <c r="A185" s="566" t="str">
        <f t="shared" si="5"/>
        <v>Costos Financiamiento</v>
      </c>
      <c r="B185" s="594" t="s">
        <v>135</v>
      </c>
      <c r="C185" s="571" t="s">
        <v>738</v>
      </c>
    </row>
    <row r="186" spans="1:3" ht="15.75">
      <c r="A186" s="566" t="str">
        <f t="shared" si="5"/>
        <v>Intereses</v>
      </c>
      <c r="B186" s="594" t="s">
        <v>115</v>
      </c>
      <c r="C186" s="571" t="s">
        <v>136</v>
      </c>
    </row>
    <row r="187" spans="1:3" ht="15.75">
      <c r="A187" s="566" t="str">
        <f t="shared" si="5"/>
        <v>Reembolso</v>
      </c>
      <c r="B187" s="594" t="s">
        <v>58</v>
      </c>
      <c r="C187" s="571" t="s">
        <v>360</v>
      </c>
    </row>
    <row r="188" spans="1:3" ht="15.75">
      <c r="A188" s="566" t="str">
        <f t="shared" si="5"/>
        <v>Total Gastos Financieros</v>
      </c>
      <c r="B188" s="594" t="s">
        <v>148</v>
      </c>
      <c r="C188" s="571" t="s">
        <v>558</v>
      </c>
    </row>
    <row r="189" spans="1:3" ht="15.75">
      <c r="A189" s="566" t="str">
        <f t="shared" si="5"/>
        <v>Ingresos</v>
      </c>
      <c r="B189" s="594" t="s">
        <v>124</v>
      </c>
      <c r="C189" s="571" t="s">
        <v>14</v>
      </c>
    </row>
    <row r="190" spans="1:3" ht="15.75">
      <c r="A190" s="566" t="str">
        <f t="shared" si="5"/>
        <v>Ingresos por Venta/Ahorro Electricidad</v>
      </c>
      <c r="B190" s="594" t="s">
        <v>458</v>
      </c>
      <c r="C190" s="571" t="s">
        <v>540</v>
      </c>
    </row>
    <row r="191" spans="1:3" ht="15.75">
      <c r="A191" s="566" t="str">
        <f t="shared" si="5"/>
        <v>Ahorro en Combustibles/Electricidad (ver hoja)</v>
      </c>
      <c r="B191" s="594" t="s">
        <v>137</v>
      </c>
      <c r="C191" s="571" t="s">
        <v>739</v>
      </c>
    </row>
    <row r="192" spans="1:3" ht="15.75">
      <c r="A192" s="566" t="str">
        <f t="shared" si="5"/>
        <v>Otros Ingresos (Costos Conexión, etc)</v>
      </c>
      <c r="B192" s="594" t="s">
        <v>138</v>
      </c>
      <c r="C192" s="571" t="s">
        <v>559</v>
      </c>
    </row>
    <row r="193" spans="1:3" ht="15.75">
      <c r="A193" s="566" t="str">
        <f t="shared" si="5"/>
        <v>Subvenciones</v>
      </c>
      <c r="B193" s="594" t="s">
        <v>139</v>
      </c>
      <c r="C193" s="571" t="s">
        <v>560</v>
      </c>
    </row>
    <row r="194" spans="1:3" ht="15.75">
      <c r="A194" s="566" t="str">
        <f t="shared" si="5"/>
        <v>Valor Residual (Después de Vida Útil)</v>
      </c>
      <c r="B194" s="594" t="s">
        <v>411</v>
      </c>
      <c r="C194" s="571" t="s">
        <v>561</v>
      </c>
    </row>
    <row r="195" spans="1:3" ht="15.75">
      <c r="A195" s="566" t="str">
        <f t="shared" si="5"/>
        <v>Total Ingresos</v>
      </c>
      <c r="B195" s="594" t="s">
        <v>140</v>
      </c>
      <c r="C195" s="571" t="s">
        <v>562</v>
      </c>
    </row>
    <row r="196" spans="1:3" ht="15.75">
      <c r="A196" s="566" t="str">
        <f t="shared" si="5"/>
        <v>Depreciación</v>
      </c>
      <c r="B196" s="594" t="s">
        <v>141</v>
      </c>
      <c r="C196" s="571" t="s">
        <v>15</v>
      </c>
    </row>
    <row r="197" spans="1:3" ht="15.75">
      <c r="A197" s="566" t="str">
        <f t="shared" si="5"/>
        <v>Periodo de Reembolso</v>
      </c>
      <c r="B197" s="594" t="s">
        <v>155</v>
      </c>
      <c r="C197" s="571" t="s">
        <v>551</v>
      </c>
    </row>
    <row r="198" spans="1:3" ht="15.75">
      <c r="A198" s="566" t="str">
        <f t="shared" si="5"/>
        <v>Resultado Operacional antes de Impuestos</v>
      </c>
      <c r="B198" s="594" t="s">
        <v>43</v>
      </c>
      <c r="C198" s="595" t="s">
        <v>565</v>
      </c>
    </row>
    <row r="199" spans="1:3" ht="15.75">
      <c r="A199" s="566" t="str">
        <f t="shared" ref="A199:A232" si="6">INDEX(B199:C199,1,HLOOKUP($A$1,$B$1:$C$2,2,0))</f>
        <v>Impuestos (%) sobre Utilidades</v>
      </c>
      <c r="B199" s="594" t="s">
        <v>34</v>
      </c>
      <c r="C199" s="595" t="s">
        <v>563</v>
      </c>
    </row>
    <row r="200" spans="1:3" ht="15.75">
      <c r="A200" s="566" t="str">
        <f t="shared" si="6"/>
        <v>Resultado Operacional después de Impuestos</v>
      </c>
      <c r="B200" s="594" t="s">
        <v>38</v>
      </c>
      <c r="C200" s="571" t="s">
        <v>564</v>
      </c>
    </row>
    <row r="201" spans="1:3" ht="15.75">
      <c r="A201" s="566" t="str">
        <f t="shared" si="6"/>
        <v>Resultado Operacional Acumulado después de Impuestos</v>
      </c>
      <c r="B201" s="594" t="s">
        <v>156</v>
      </c>
      <c r="C201" s="571" t="s">
        <v>566</v>
      </c>
    </row>
    <row r="202" spans="1:3" ht="15.75">
      <c r="A202" s="566" t="str">
        <f t="shared" si="6"/>
        <v>Resultado Operacional Descontado después de Impuestos</v>
      </c>
      <c r="B202" s="594" t="s">
        <v>149</v>
      </c>
      <c r="C202" s="571" t="s">
        <v>567</v>
      </c>
    </row>
    <row r="203" spans="1:3" ht="15.75">
      <c r="A203" s="566" t="str">
        <f t="shared" si="6"/>
        <v>Resultado Operacional Descontado y Acumulado después de Impuestos</v>
      </c>
      <c r="B203" s="594" t="s">
        <v>157</v>
      </c>
      <c r="C203" s="571" t="s">
        <v>568</v>
      </c>
    </row>
    <row r="204" spans="1:3" ht="15.75">
      <c r="A204" s="566" t="str">
        <f t="shared" si="6"/>
        <v>Liquidez al inicio</v>
      </c>
      <c r="B204" s="594" t="s">
        <v>765</v>
      </c>
      <c r="C204" s="571" t="s">
        <v>766</v>
      </c>
    </row>
    <row r="205" spans="1:3" ht="15.75">
      <c r="A205" s="566" t="str">
        <f t="shared" si="6"/>
        <v>Liquidez y DSCR (Índice de Cobertura de Servicio de Deuda)</v>
      </c>
      <c r="B205" s="594" t="s">
        <v>56</v>
      </c>
      <c r="C205" s="595" t="s">
        <v>361</v>
      </c>
    </row>
    <row r="206" spans="1:3" ht="15.75">
      <c r="A206" s="566" t="str">
        <f t="shared" si="6"/>
        <v>Liquidez (Final de Año)</v>
      </c>
      <c r="B206" s="594" t="s">
        <v>35</v>
      </c>
      <c r="C206" s="591" t="s">
        <v>569</v>
      </c>
    </row>
    <row r="207" spans="1:3" ht="15.75">
      <c r="A207" s="566" t="str">
        <f t="shared" si="6"/>
        <v>dividendos a los accionistas en% sobre el capital propio de inversión</v>
      </c>
      <c r="B207" s="594" t="s">
        <v>36</v>
      </c>
      <c r="C207" s="591" t="s">
        <v>362</v>
      </c>
    </row>
    <row r="208" spans="1:3" ht="15.75">
      <c r="A208" s="566" t="str">
        <f t="shared" si="6"/>
        <v>Dividendo a Accionistas en % sobre Capital Propio</v>
      </c>
      <c r="B208" s="594" t="s">
        <v>104</v>
      </c>
      <c r="C208" s="591" t="s">
        <v>570</v>
      </c>
    </row>
    <row r="209" spans="1:3" ht="15.75">
      <c r="A209" s="566" t="str">
        <f t="shared" si="6"/>
        <v>Depreciación Equipos/Planta</v>
      </c>
      <c r="B209" s="594" t="s">
        <v>39</v>
      </c>
      <c r="C209" s="591" t="s">
        <v>727</v>
      </c>
    </row>
    <row r="210" spans="1:3" ht="15.75">
      <c r="A210" s="566" t="str">
        <f t="shared" si="6"/>
        <v>Flujo de Caja (antes de reembolso)</v>
      </c>
      <c r="B210" s="161" t="s">
        <v>769</v>
      </c>
      <c r="C210" s="591" t="s">
        <v>865</v>
      </c>
    </row>
    <row r="211" spans="1:3" ht="15.75">
      <c r="A211" s="566" t="str">
        <f t="shared" si="6"/>
        <v>Flujo de Caja (después de reembolso)</v>
      </c>
      <c r="B211" s="161" t="s">
        <v>770</v>
      </c>
      <c r="C211" s="591" t="s">
        <v>866</v>
      </c>
    </row>
    <row r="212" spans="1:3" ht="15.75">
      <c r="A212" s="566" t="str">
        <f t="shared" si="6"/>
        <v>Flujo de Caja (Considerando Costos sin Efecto sobre la Liquidez)</v>
      </c>
      <c r="B212" s="594" t="s">
        <v>42</v>
      </c>
      <c r="C212" s="591" t="s">
        <v>571</v>
      </c>
    </row>
    <row r="213" spans="1:3" ht="15.75">
      <c r="A213" s="566" t="str">
        <f t="shared" si="6"/>
        <v>Pago Deuda Bancaria (Reembolso + Intereses)</v>
      </c>
      <c r="B213" s="594" t="s">
        <v>774</v>
      </c>
      <c r="C213" s="595" t="s">
        <v>839</v>
      </c>
    </row>
    <row r="214" spans="1:3" ht="15.75">
      <c r="A214" s="566" t="str">
        <f t="shared" si="6"/>
        <v>(Índice de Cobertura de Servicio de Deuda)</v>
      </c>
      <c r="B214" s="594" t="s">
        <v>37</v>
      </c>
      <c r="C214" s="589" t="s">
        <v>363</v>
      </c>
    </row>
    <row r="215" spans="1:3" ht="15.75">
      <c r="A215" s="566" t="str">
        <f t="shared" si="6"/>
        <v>Criterio DSCR (Índice de Cobertura de Servicio de Deuda)&gt; 1,x cumple?</v>
      </c>
      <c r="B215" s="594" t="s">
        <v>268</v>
      </c>
      <c r="C215" s="595" t="s">
        <v>364</v>
      </c>
    </row>
    <row r="216" spans="1:3" ht="15.75">
      <c r="A216" s="566" t="str">
        <f t="shared" si="6"/>
        <v>Tasa Interna de Retorno</v>
      </c>
      <c r="B216" s="594" t="s">
        <v>142</v>
      </c>
      <c r="C216" s="571" t="s">
        <v>365</v>
      </c>
    </row>
    <row r="217" spans="1:3" ht="15.75">
      <c r="A217" s="566" t="str">
        <f t="shared" si="6"/>
        <v>Periodo Amortización Sencillo</v>
      </c>
      <c r="B217" s="594" t="s">
        <v>143</v>
      </c>
      <c r="C217" s="571" t="s">
        <v>572</v>
      </c>
    </row>
    <row r="218" spans="1:3" ht="15.75">
      <c r="A218" s="566" t="str">
        <f t="shared" si="6"/>
        <v>Periodo Amortazión Descontado</v>
      </c>
      <c r="B218" s="594" t="s">
        <v>144</v>
      </c>
      <c r="C218" s="571" t="s">
        <v>573</v>
      </c>
    </row>
    <row r="219" spans="1:3" ht="15.75">
      <c r="A219" s="566" t="str">
        <f t="shared" si="6"/>
        <v>Tasa Interna de Retorno</v>
      </c>
      <c r="B219" s="594" t="s">
        <v>142</v>
      </c>
      <c r="C219" s="571" t="s">
        <v>365</v>
      </c>
    </row>
    <row r="220" spans="1:3" ht="15.75">
      <c r="A220" s="566" t="str">
        <f t="shared" si="6"/>
        <v>Valor Presente Neto</v>
      </c>
      <c r="B220" s="594" t="s">
        <v>145</v>
      </c>
      <c r="C220" s="589" t="s">
        <v>345</v>
      </c>
    </row>
    <row r="221" spans="1:3" ht="15.75">
      <c r="A221" s="566" t="str">
        <f t="shared" si="6"/>
        <v>Enero</v>
      </c>
      <c r="B221" s="594" t="s">
        <v>65</v>
      </c>
      <c r="C221" s="571" t="s">
        <v>366</v>
      </c>
    </row>
    <row r="222" spans="1:3" ht="15.75">
      <c r="A222" s="566" t="str">
        <f t="shared" si="6"/>
        <v>Febrero</v>
      </c>
      <c r="B222" s="594" t="s">
        <v>69</v>
      </c>
      <c r="C222" s="571" t="s">
        <v>367</v>
      </c>
    </row>
    <row r="223" spans="1:3" ht="15.75">
      <c r="A223" s="566" t="str">
        <f t="shared" si="6"/>
        <v>Marzo</v>
      </c>
      <c r="B223" s="594" t="s">
        <v>74</v>
      </c>
      <c r="C223" s="571" t="s">
        <v>368</v>
      </c>
    </row>
    <row r="224" spans="1:3" ht="15.75">
      <c r="A224" s="566" t="str">
        <f t="shared" si="6"/>
        <v>Abril</v>
      </c>
      <c r="B224" s="594" t="s">
        <v>78</v>
      </c>
      <c r="C224" s="571" t="s">
        <v>369</v>
      </c>
    </row>
    <row r="225" spans="1:3" ht="15.75">
      <c r="A225" s="566" t="str">
        <f t="shared" si="6"/>
        <v>Mayo</v>
      </c>
      <c r="B225" s="594" t="s">
        <v>82</v>
      </c>
      <c r="C225" s="571" t="s">
        <v>370</v>
      </c>
    </row>
    <row r="226" spans="1:3" ht="15.75">
      <c r="A226" s="566" t="str">
        <f t="shared" si="6"/>
        <v>Junio</v>
      </c>
      <c r="B226" s="594" t="s">
        <v>86</v>
      </c>
      <c r="C226" s="571" t="s">
        <v>371</v>
      </c>
    </row>
    <row r="227" spans="1:3" ht="15.75">
      <c r="A227" s="566" t="str">
        <f t="shared" si="6"/>
        <v>Julio</v>
      </c>
      <c r="B227" s="594" t="s">
        <v>88</v>
      </c>
      <c r="C227" s="571" t="s">
        <v>372</v>
      </c>
    </row>
    <row r="228" spans="1:3" ht="15.75">
      <c r="A228" s="566" t="str">
        <f t="shared" si="6"/>
        <v>Agosto</v>
      </c>
      <c r="B228" s="594" t="s">
        <v>90</v>
      </c>
      <c r="C228" s="571" t="s">
        <v>373</v>
      </c>
    </row>
    <row r="229" spans="1:3" ht="15.75">
      <c r="A229" s="566" t="str">
        <f t="shared" si="6"/>
        <v>Septiembre</v>
      </c>
      <c r="B229" s="594" t="s">
        <v>92</v>
      </c>
      <c r="C229" s="571" t="s">
        <v>374</v>
      </c>
    </row>
    <row r="230" spans="1:3" ht="15.75">
      <c r="A230" s="566" t="str">
        <f t="shared" si="6"/>
        <v>Octubre</v>
      </c>
      <c r="B230" s="594" t="s">
        <v>93</v>
      </c>
      <c r="C230" s="571" t="s">
        <v>375</v>
      </c>
    </row>
    <row r="231" spans="1:3" ht="15.75">
      <c r="A231" s="566" t="str">
        <f t="shared" si="6"/>
        <v>Noviembre</v>
      </c>
      <c r="B231" s="594" t="s">
        <v>94</v>
      </c>
      <c r="C231" s="571" t="s">
        <v>376</v>
      </c>
    </row>
    <row r="232" spans="1:3" ht="15.75">
      <c r="A232" s="566" t="str">
        <f t="shared" si="6"/>
        <v>Diciembre</v>
      </c>
      <c r="B232" s="594" t="s">
        <v>96</v>
      </c>
      <c r="C232" s="571" t="s">
        <v>377</v>
      </c>
    </row>
    <row r="233" spans="1:3">
      <c r="A233" s="566" t="str">
        <f t="shared" ref="A233:A251" si="7">INDEX(B233:C233,1,HLOOKUP($A$1,$B$1:$C$2,2,0))</f>
        <v>Annuitätendarlehen - Quotas anuales constantes</v>
      </c>
      <c r="B233" s="594" t="s">
        <v>488</v>
      </c>
      <c r="C233" s="594" t="s">
        <v>488</v>
      </c>
    </row>
    <row r="234" spans="1:3">
      <c r="A234" s="566" t="str">
        <f t="shared" si="7"/>
        <v>Fixe Tilgungsrate - Tasa de reembolso fija</v>
      </c>
      <c r="B234" s="594" t="s">
        <v>489</v>
      </c>
      <c r="C234" s="594" t="s">
        <v>489</v>
      </c>
    </row>
    <row r="235" spans="1:3" ht="15.75">
      <c r="A235" s="566" t="str">
        <f t="shared" si="7"/>
        <v>Valor Actual</v>
      </c>
      <c r="B235" s="594" t="s">
        <v>151</v>
      </c>
      <c r="C235" s="571" t="s">
        <v>21</v>
      </c>
    </row>
    <row r="236" spans="1:3" ht="15.75">
      <c r="A236" s="566" t="str">
        <f t="shared" si="7"/>
        <v>Valor Nuevo</v>
      </c>
      <c r="B236" s="594" t="s">
        <v>152</v>
      </c>
      <c r="C236" s="571" t="s">
        <v>574</v>
      </c>
    </row>
    <row r="237" spans="1:3" ht="15.75">
      <c r="A237" s="566" t="str">
        <f t="shared" si="7"/>
        <v>Análisis de Sensibilidad: Poner "1" en escenario deseado</v>
      </c>
      <c r="B237" s="594" t="s">
        <v>153</v>
      </c>
      <c r="C237" s="571" t="s">
        <v>575</v>
      </c>
    </row>
    <row r="238" spans="1:3" ht="15.75">
      <c r="A238" s="566" t="str">
        <f t="shared" si="7"/>
        <v>Valores Originales</v>
      </c>
      <c r="B238" s="594" t="s">
        <v>158</v>
      </c>
      <c r="C238" s="571" t="s">
        <v>18</v>
      </c>
    </row>
    <row r="239" spans="1:3" ht="15.75">
      <c r="A239" s="566" t="str">
        <f t="shared" si="7"/>
        <v>Valores Ajustados</v>
      </c>
      <c r="B239" s="594" t="s">
        <v>159</v>
      </c>
      <c r="C239" s="571" t="s">
        <v>19</v>
      </c>
    </row>
    <row r="240" spans="1:3" ht="15.75">
      <c r="A240" s="566" t="str">
        <f t="shared" si="7"/>
        <v>Curva DSCR en Caso Base y bajo Supuestos de Análisis de Sensibilidad</v>
      </c>
      <c r="B240" s="594" t="s">
        <v>162</v>
      </c>
      <c r="C240" s="571" t="s">
        <v>576</v>
      </c>
    </row>
    <row r="241" spans="1:3" ht="15.75">
      <c r="A241" s="566" t="str">
        <f t="shared" si="7"/>
        <v>Cálculo Tiempo Amortización</v>
      </c>
      <c r="B241" s="594" t="s">
        <v>412</v>
      </c>
      <c r="C241" s="571" t="s">
        <v>749</v>
      </c>
    </row>
    <row r="242" spans="1:3" ht="15.75">
      <c r="A242" s="566" t="str">
        <f t="shared" si="7"/>
        <v>Resultado Operacional después de Impuestos más Depreciación (Flujo de Caja)</v>
      </c>
      <c r="B242" s="594" t="s">
        <v>413</v>
      </c>
      <c r="C242" s="571" t="s">
        <v>744</v>
      </c>
    </row>
    <row r="243" spans="1:3" ht="15.75">
      <c r="A243" s="566" t="str">
        <f t="shared" si="7"/>
        <v>Flujo de Caja Acumulado</v>
      </c>
      <c r="B243" s="594" t="s">
        <v>414</v>
      </c>
      <c r="C243" s="571" t="s">
        <v>745</v>
      </c>
    </row>
    <row r="244" spans="1:3" ht="15.75">
      <c r="A244" s="566" t="str">
        <f t="shared" si="7"/>
        <v>Tiempo de Amortización</v>
      </c>
      <c r="B244" s="594" t="s">
        <v>155</v>
      </c>
      <c r="C244" s="571" t="s">
        <v>742</v>
      </c>
    </row>
    <row r="245" spans="1:3" ht="15.75">
      <c r="A245" s="566" t="str">
        <f t="shared" si="7"/>
        <v>Flujo de Caja (Después de Intereses)</v>
      </c>
      <c r="B245" s="594" t="s">
        <v>415</v>
      </c>
      <c r="C245" s="571" t="s">
        <v>746</v>
      </c>
    </row>
    <row r="246" spans="1:3" ht="15.75">
      <c r="A246" s="566" t="str">
        <f t="shared" si="7"/>
        <v>Flujo de Caja Acumulado (Después de Intereses)</v>
      </c>
      <c r="B246" s="594" t="s">
        <v>416</v>
      </c>
      <c r="C246" s="571" t="s">
        <v>747</v>
      </c>
    </row>
    <row r="247" spans="1:3" ht="15.75">
      <c r="A247" s="566" t="str">
        <f t="shared" si="7"/>
        <v>Tiempo de Amortización Mensual</v>
      </c>
      <c r="B247" s="594" t="s">
        <v>417</v>
      </c>
      <c r="C247" s="571" t="s">
        <v>748</v>
      </c>
    </row>
    <row r="248" spans="1:3" ht="15.75">
      <c r="A248" s="566" t="str">
        <f t="shared" si="7"/>
        <v>Valor Presente Neto de acuerdo a Inversión Total</v>
      </c>
      <c r="B248" s="594" t="s">
        <v>772</v>
      </c>
      <c r="C248" s="571" t="s">
        <v>812</v>
      </c>
    </row>
    <row r="249" spans="1:3" ht="15.75">
      <c r="A249" s="566" t="str">
        <f t="shared" si="7"/>
        <v>Flujo de Caja Sin Financiamiento</v>
      </c>
      <c r="B249" s="594" t="s">
        <v>771</v>
      </c>
      <c r="C249" s="571" t="s">
        <v>813</v>
      </c>
    </row>
    <row r="250" spans="1:3" ht="15.75">
      <c r="A250" s="566" t="str">
        <f t="shared" si="7"/>
        <v>No</v>
      </c>
      <c r="B250" s="594" t="s">
        <v>806</v>
      </c>
      <c r="C250" s="571" t="s">
        <v>807</v>
      </c>
    </row>
    <row r="251" spans="1:3" ht="15.75">
      <c r="A251" s="566" t="str">
        <f t="shared" si="7"/>
        <v xml:space="preserve">Si </v>
      </c>
      <c r="B251" s="594" t="s">
        <v>809</v>
      </c>
      <c r="C251" s="571" t="s">
        <v>808</v>
      </c>
    </row>
    <row r="252" spans="1:3">
      <c r="A252" s="566"/>
      <c r="B252" s="594"/>
      <c r="C252" s="594"/>
    </row>
    <row r="253" spans="1:3">
      <c r="A253" s="588" t="s">
        <v>284</v>
      </c>
      <c r="B253" s="588" t="s">
        <v>284</v>
      </c>
      <c r="C253" s="588" t="s">
        <v>284</v>
      </c>
    </row>
    <row r="254" spans="1:3">
      <c r="A254" s="566"/>
      <c r="B254" s="594"/>
      <c r="C254" s="594"/>
    </row>
    <row r="255" spans="1:3" ht="15.75">
      <c r="A255" s="566" t="str">
        <f t="shared" ref="A255:A272" si="8">INDEX(B255:C255,1,HLOOKUP($A$1,$B$1:$C$2,2,0))</f>
        <v>Los valores se derivan de los valores iniciales y se ajustan de acuerdo a los factores de la "sensibilidad de entrada".</v>
      </c>
      <c r="B255" s="566">
        <f>'Calc Sensitivity'!E6</f>
        <v>0</v>
      </c>
      <c r="C255" s="595" t="s">
        <v>577</v>
      </c>
    </row>
    <row r="256" spans="1:3" ht="15.75">
      <c r="A256" s="566" t="str">
        <f t="shared" si="8"/>
        <v>Sensibilidad del Valor Presente Neto en función de los Costos de Inversión</v>
      </c>
      <c r="B256" s="594" t="s">
        <v>319</v>
      </c>
      <c r="C256" s="591" t="s">
        <v>578</v>
      </c>
    </row>
    <row r="257" spans="1:5" ht="15.75">
      <c r="A257" s="566" t="str">
        <f t="shared" si="8"/>
        <v>Sensibilidad del Valor Presente Neto en función de la Tasa de Descuento</v>
      </c>
      <c r="B257" s="594" t="s">
        <v>320</v>
      </c>
      <c r="C257" s="591" t="s">
        <v>378</v>
      </c>
    </row>
    <row r="258" spans="1:5" ht="15.75">
      <c r="A258" s="566" t="str">
        <f t="shared" si="8"/>
        <v>Valor Presente Neto en función de los Subsidios</v>
      </c>
      <c r="B258" s="594" t="s">
        <v>321</v>
      </c>
      <c r="C258" s="589" t="s">
        <v>379</v>
      </c>
    </row>
    <row r="259" spans="1:5" ht="15.75">
      <c r="A259" s="566" t="str">
        <f t="shared" si="8"/>
        <v>% Cambio</v>
      </c>
      <c r="B259" s="594" t="s">
        <v>304</v>
      </c>
      <c r="C259" s="571" t="s">
        <v>380</v>
      </c>
    </row>
    <row r="260" spans="1:5" ht="15.75">
      <c r="A260" s="566" t="str">
        <f t="shared" si="8"/>
        <v>Costos Nuevos</v>
      </c>
      <c r="B260" s="594" t="s">
        <v>322</v>
      </c>
      <c r="C260" s="571" t="s">
        <v>579</v>
      </c>
    </row>
    <row r="261" spans="1:5" ht="15.75">
      <c r="A261" s="566" t="str">
        <f t="shared" si="8"/>
        <v xml:space="preserve">Nuevo Valor Presente Neto </v>
      </c>
      <c r="B261" s="594" t="s">
        <v>323</v>
      </c>
      <c r="C261" s="571" t="s">
        <v>589</v>
      </c>
    </row>
    <row r="262" spans="1:5" ht="15.75">
      <c r="A262" s="566" t="str">
        <f t="shared" si="8"/>
        <v>Sensibilidad del Periodo de Amortización</v>
      </c>
      <c r="B262" s="594" t="s">
        <v>293</v>
      </c>
      <c r="C262" s="571" t="s">
        <v>352</v>
      </c>
      <c r="D262" s="31"/>
      <c r="E262" s="32"/>
    </row>
    <row r="263" spans="1:5">
      <c r="A263" s="566">
        <f t="shared" si="8"/>
        <v>0</v>
      </c>
      <c r="B263" s="594"/>
      <c r="C263" s="568"/>
      <c r="D263" s="34"/>
      <c r="E263" s="7"/>
    </row>
    <row r="264" spans="1:5" ht="15.75">
      <c r="A264" s="566" t="str">
        <f t="shared" si="8"/>
        <v>Ingresos Anuales por Venta de Electricidad</v>
      </c>
      <c r="B264" s="594" t="s">
        <v>305</v>
      </c>
      <c r="C264" s="571" t="s">
        <v>20</v>
      </c>
      <c r="D264" s="34"/>
      <c r="E264" s="7"/>
    </row>
    <row r="265" spans="1:5" ht="15.75">
      <c r="A265" s="566" t="str">
        <f t="shared" si="8"/>
        <v>% Cambio</v>
      </c>
      <c r="B265" s="594" t="s">
        <v>296</v>
      </c>
      <c r="C265" s="571" t="str">
        <f>C259</f>
        <v>% Cambio</v>
      </c>
    </row>
    <row r="266" spans="1:5" ht="15.75">
      <c r="A266" s="566" t="str">
        <f t="shared" si="8"/>
        <v>Valor Nuevo</v>
      </c>
      <c r="B266" s="594" t="s">
        <v>152</v>
      </c>
      <c r="C266" s="571" t="s">
        <v>574</v>
      </c>
    </row>
    <row r="267" spans="1:5" ht="15.75">
      <c r="A267" s="566" t="str">
        <f t="shared" si="8"/>
        <v>Ingresos Ajustados por Venta de Electricidad</v>
      </c>
      <c r="B267" s="594" t="s">
        <v>306</v>
      </c>
      <c r="C267" s="571" t="s">
        <v>580</v>
      </c>
    </row>
    <row r="268" spans="1:5" ht="15.75">
      <c r="A268" s="566" t="str">
        <f t="shared" si="8"/>
        <v>Variación de los Ingresos Anuales</v>
      </c>
      <c r="B268" s="594" t="s">
        <v>307</v>
      </c>
      <c r="C268" s="571" t="s">
        <v>581</v>
      </c>
    </row>
    <row r="269" spans="1:5" ht="15.75">
      <c r="A269" s="566" t="str">
        <f t="shared" si="8"/>
        <v xml:space="preserve">Costos Anuales de Mantención y Reparación </v>
      </c>
      <c r="B269" s="594" t="s">
        <v>324</v>
      </c>
      <c r="C269" s="571" t="s">
        <v>582</v>
      </c>
    </row>
    <row r="270" spans="1:5" ht="15.75">
      <c r="A270" s="566" t="str">
        <f t="shared" si="8"/>
        <v>% Cambio</v>
      </c>
      <c r="B270" s="594" t="s">
        <v>296</v>
      </c>
      <c r="C270" s="571" t="str">
        <f>C265</f>
        <v>% Cambio</v>
      </c>
    </row>
    <row r="271" spans="1:5" ht="15.75">
      <c r="A271" s="566" t="str">
        <f t="shared" si="8"/>
        <v>Variación de los Costos Anuales de Mantención y Reparación</v>
      </c>
      <c r="B271" s="594" t="s">
        <v>308</v>
      </c>
      <c r="C271" s="571" t="s">
        <v>583</v>
      </c>
    </row>
    <row r="272" spans="1:5" ht="15.75">
      <c r="A272" s="566" t="str">
        <f t="shared" si="8"/>
        <v>Flujo de Caja Ajustado/Corregido</v>
      </c>
      <c r="B272" s="594" t="s">
        <v>325</v>
      </c>
      <c r="C272" s="571" t="s">
        <v>743</v>
      </c>
    </row>
    <row r="273" spans="1:3">
      <c r="A273" s="566"/>
      <c r="B273" s="594"/>
      <c r="C273" s="594"/>
    </row>
    <row r="274" spans="1:3">
      <c r="A274" s="588" t="s">
        <v>285</v>
      </c>
      <c r="B274" s="588"/>
      <c r="C274" s="588" t="s">
        <v>381</v>
      </c>
    </row>
    <row r="275" spans="1:3" ht="12.75" customHeight="1">
      <c r="A275" s="566" t="str">
        <f t="shared" ref="A275:A320" si="9">INDEX(B275:C275,1,HLOOKUP($A$1,$B$1:$C$2,2,0))</f>
        <v>Información Inicial del Crédito</v>
      </c>
      <c r="B275" s="594" t="s">
        <v>309</v>
      </c>
      <c r="C275" s="571" t="s">
        <v>584</v>
      </c>
    </row>
    <row r="276" spans="1:3" ht="12.75" customHeight="1">
      <c r="A276" s="566" t="str">
        <f t="shared" si="9"/>
        <v>Tasa de Interés</v>
      </c>
      <c r="B276" s="594" t="s">
        <v>57</v>
      </c>
      <c r="C276" s="571" t="s">
        <v>337</v>
      </c>
    </row>
    <row r="277" spans="1:3" ht="12.75" customHeight="1">
      <c r="A277" s="566" t="str">
        <f t="shared" si="9"/>
        <v>Amortización/Reembolso</v>
      </c>
      <c r="B277" s="594" t="s">
        <v>58</v>
      </c>
      <c r="C277" s="571" t="s">
        <v>552</v>
      </c>
    </row>
    <row r="278" spans="1:3" ht="12.75" customHeight="1">
      <c r="A278" s="566" t="str">
        <f t="shared" si="9"/>
        <v>Servicio de Deuda</v>
      </c>
      <c r="B278" s="594" t="s">
        <v>59</v>
      </c>
      <c r="C278" s="571" t="s">
        <v>585</v>
      </c>
    </row>
    <row r="279" spans="1:3" ht="12.75" customHeight="1">
      <c r="A279" s="566" t="str">
        <f t="shared" si="9"/>
        <v>Comprobar</v>
      </c>
      <c r="B279" s="594" t="s">
        <v>60</v>
      </c>
      <c r="C279" s="571" t="s">
        <v>586</v>
      </c>
    </row>
    <row r="280" spans="1:3" ht="15.75">
      <c r="A280" s="566" t="str">
        <f t="shared" si="9"/>
        <v>Financiamiento Escenario Base</v>
      </c>
      <c r="B280" s="594" t="s">
        <v>276</v>
      </c>
      <c r="C280" s="571" t="s">
        <v>877</v>
      </c>
    </row>
    <row r="281" spans="1:3" ht="15.75">
      <c r="A281" s="566" t="str">
        <f t="shared" si="9"/>
        <v>Financiamiento Escenario Sensibilidad</v>
      </c>
      <c r="B281" s="594" t="s">
        <v>277</v>
      </c>
      <c r="C281" s="571" t="s">
        <v>870</v>
      </c>
    </row>
    <row r="282" spans="1:3" ht="15.75">
      <c r="A282" s="566" t="str">
        <f t="shared" si="9"/>
        <v>Anual</v>
      </c>
      <c r="B282" s="594" t="s">
        <v>72</v>
      </c>
      <c r="C282" s="806" t="s">
        <v>871</v>
      </c>
    </row>
    <row r="283" spans="1:3" ht="15.75">
      <c r="A283" s="566" t="str">
        <f t="shared" si="9"/>
        <v>Tipo:</v>
      </c>
      <c r="B283" s="594" t="s">
        <v>62</v>
      </c>
      <c r="C283" s="571" t="s">
        <v>382</v>
      </c>
    </row>
    <row r="284" spans="1:3" ht="15.75">
      <c r="A284" s="566" t="str">
        <f t="shared" si="9"/>
        <v>Monto del Préstamo</v>
      </c>
      <c r="B284" s="594" t="s">
        <v>66</v>
      </c>
      <c r="C284" s="571" t="s">
        <v>590</v>
      </c>
    </row>
    <row r="285" spans="1:3" ht="15.75">
      <c r="A285" s="566" t="str">
        <f t="shared" si="9"/>
        <v>Tasa de Interés Nominal</v>
      </c>
      <c r="B285" s="594" t="s">
        <v>70</v>
      </c>
      <c r="C285" s="571" t="s">
        <v>591</v>
      </c>
    </row>
    <row r="286" spans="1:3" ht="15.75">
      <c r="A286" s="566" t="str">
        <f t="shared" si="9"/>
        <v>Plazo:</v>
      </c>
      <c r="B286" s="594" t="s">
        <v>79</v>
      </c>
      <c r="C286" s="571" t="s">
        <v>873</v>
      </c>
    </row>
    <row r="287" spans="1:3" ht="15.75">
      <c r="A287" s="566" t="str">
        <f t="shared" si="9"/>
        <v>Inicio:</v>
      </c>
      <c r="B287" s="594" t="s">
        <v>63</v>
      </c>
      <c r="C287" s="571" t="s">
        <v>383</v>
      </c>
    </row>
    <row r="288" spans="1:3" ht="15.75">
      <c r="A288" s="566" t="str">
        <f t="shared" si="9"/>
        <v>Después de Tasa Fija de Interés:</v>
      </c>
      <c r="B288" s="594" t="s">
        <v>71</v>
      </c>
      <c r="C288" s="571" t="s">
        <v>593</v>
      </c>
    </row>
    <row r="289" spans="1:3" ht="15.75">
      <c r="A289" s="566" t="str">
        <f t="shared" si="9"/>
        <v>Término Tasa Fija de Interés:</v>
      </c>
      <c r="B289" s="594" t="s">
        <v>75</v>
      </c>
      <c r="C289" s="571" t="s">
        <v>592</v>
      </c>
    </row>
    <row r="290" spans="1:3" ht="15.75">
      <c r="A290" s="566" t="str">
        <f t="shared" si="9"/>
        <v>Valor al Término Período Tasa Fija:</v>
      </c>
      <c r="B290" s="594" t="s">
        <v>83</v>
      </c>
      <c r="C290" s="571" t="s">
        <v>872</v>
      </c>
    </row>
    <row r="291" spans="1:3" ht="15.75">
      <c r="A291" s="566" t="str">
        <f t="shared" si="9"/>
        <v>Mes:</v>
      </c>
      <c r="B291" s="594" t="s">
        <v>107</v>
      </c>
      <c r="C291" s="571" t="s">
        <v>594</v>
      </c>
    </row>
    <row r="292" spans="1:3" ht="15.75">
      <c r="A292" s="566" t="str">
        <f t="shared" si="9"/>
        <v>Pago:</v>
      </c>
      <c r="B292" s="594" t="s">
        <v>67</v>
      </c>
      <c r="C292" s="571" t="s">
        <v>874</v>
      </c>
    </row>
    <row r="293" spans="1:3" ht="15.75">
      <c r="A293" s="566" t="str">
        <f t="shared" si="9"/>
        <v>Anualidad:</v>
      </c>
      <c r="B293" s="594" t="s">
        <v>72</v>
      </c>
      <c r="C293" s="571" t="s">
        <v>875</v>
      </c>
    </row>
    <row r="294" spans="1:3" ht="15.75">
      <c r="A294" s="566" t="str">
        <f t="shared" si="9"/>
        <v>Cuotas de Reembolso Anuales</v>
      </c>
      <c r="B294" s="594" t="s">
        <v>76</v>
      </c>
      <c r="C294" s="571" t="s">
        <v>876</v>
      </c>
    </row>
    <row r="295" spans="1:3" ht="15.75">
      <c r="A295" s="566" t="str">
        <f t="shared" si="9"/>
        <v>Sin Cuotas Crediticias</v>
      </c>
      <c r="B295" s="594" t="s">
        <v>80</v>
      </c>
      <c r="C295" s="571" t="s">
        <v>556</v>
      </c>
    </row>
    <row r="296" spans="1:3" ht="15.75">
      <c r="A296" s="566" t="str">
        <f t="shared" si="9"/>
        <v>Valor de Cuota al Término del Periodo con Tasa de Interés Fija</v>
      </c>
      <c r="B296" s="594" t="s">
        <v>84</v>
      </c>
      <c r="C296" s="571" t="s">
        <v>595</v>
      </c>
    </row>
    <row r="297" spans="1:3" ht="15.75">
      <c r="A297" s="566" t="str">
        <f t="shared" si="9"/>
        <v>Puesta en Marcha:</v>
      </c>
      <c r="B297" s="594" t="s">
        <v>64</v>
      </c>
      <c r="C297" s="571" t="s">
        <v>596</v>
      </c>
    </row>
    <row r="298" spans="1:3" ht="15.75">
      <c r="A298" s="566" t="str">
        <f t="shared" si="9"/>
        <v>Préstamo Neto:</v>
      </c>
      <c r="B298" s="594" t="s">
        <v>68</v>
      </c>
      <c r="C298" s="571" t="s">
        <v>597</v>
      </c>
    </row>
    <row r="299" spans="1:3" ht="15.75">
      <c r="A299" s="566" t="str">
        <f t="shared" si="9"/>
        <v>Tasa de Reembolso</v>
      </c>
      <c r="B299" s="594" t="s">
        <v>73</v>
      </c>
      <c r="C299" s="571" t="s">
        <v>553</v>
      </c>
    </row>
    <row r="300" spans="1:3" ht="15.75">
      <c r="A300" s="566" t="str">
        <f t="shared" si="9"/>
        <v>Inicio Reembolso</v>
      </c>
      <c r="B300" s="594" t="s">
        <v>77</v>
      </c>
      <c r="C300" s="571" t="s">
        <v>550</v>
      </c>
    </row>
    <row r="301" spans="1:3" ht="15.75">
      <c r="A301" s="566" t="str">
        <f t="shared" si="9"/>
        <v>Días de Interés Anual</v>
      </c>
      <c r="B301" s="594" t="s">
        <v>81</v>
      </c>
      <c r="C301" s="571" t="s">
        <v>598</v>
      </c>
    </row>
    <row r="302" spans="1:3" ht="15.75">
      <c r="A302" s="566" t="str">
        <f t="shared" si="9"/>
        <v>Fin de Reembolso Crédito</v>
      </c>
      <c r="B302" s="594" t="s">
        <v>85</v>
      </c>
      <c r="C302" s="591" t="s">
        <v>599</v>
      </c>
    </row>
    <row r="303" spans="1:3" ht="15.75">
      <c r="A303" s="566" t="str">
        <f t="shared" si="9"/>
        <v>Fechas</v>
      </c>
      <c r="B303" s="594" t="s">
        <v>87</v>
      </c>
      <c r="C303" s="571" t="s">
        <v>384</v>
      </c>
    </row>
    <row r="304" spans="1:3" ht="15.75">
      <c r="A304" s="566" t="str">
        <f t="shared" si="9"/>
        <v xml:space="preserve">Fechas de Reembolso  </v>
      </c>
      <c r="B304" s="594" t="s">
        <v>89</v>
      </c>
      <c r="C304" s="571" t="s">
        <v>600</v>
      </c>
    </row>
    <row r="305" spans="1:3" ht="15.75">
      <c r="A305" s="566" t="str">
        <f t="shared" si="9"/>
        <v>Fechas Pago Intereses</v>
      </c>
      <c r="B305" s="594" t="s">
        <v>91</v>
      </c>
      <c r="C305" s="571" t="s">
        <v>601</v>
      </c>
    </row>
    <row r="306" spans="1:3" ht="15.75">
      <c r="A306" s="566" t="str">
        <f t="shared" si="9"/>
        <v>Plan de Pago de Cuotas de Crédito/Intereses</v>
      </c>
      <c r="B306" s="594" t="s">
        <v>205</v>
      </c>
      <c r="C306" s="571" t="s">
        <v>602</v>
      </c>
    </row>
    <row r="307" spans="1:3" ht="15.75">
      <c r="A307" s="566" t="str">
        <f t="shared" si="9"/>
        <v>Fechas Pago Intereses</v>
      </c>
      <c r="B307" s="594" t="s">
        <v>97</v>
      </c>
      <c r="C307" s="571" t="str">
        <f>C305</f>
        <v>Fechas Pago Intereses</v>
      </c>
    </row>
    <row r="308" spans="1:3" ht="15.75">
      <c r="A308" s="566" t="str">
        <f t="shared" si="9"/>
        <v>Reembolso</v>
      </c>
      <c r="B308" s="594" t="s">
        <v>58</v>
      </c>
      <c r="C308" s="571" t="s">
        <v>360</v>
      </c>
    </row>
    <row r="309" spans="1:3" ht="15.75">
      <c r="A309" s="566" t="str">
        <f t="shared" si="9"/>
        <v>Fecha</v>
      </c>
      <c r="B309" s="594" t="s">
        <v>98</v>
      </c>
      <c r="C309" s="571" t="s">
        <v>603</v>
      </c>
    </row>
    <row r="310" spans="1:3" ht="15.75">
      <c r="A310" s="566" t="str">
        <f t="shared" si="9"/>
        <v>Valor</v>
      </c>
      <c r="B310" s="594" t="s">
        <v>99</v>
      </c>
      <c r="C310" s="571" t="s">
        <v>385</v>
      </c>
    </row>
    <row r="311" spans="1:3" ht="15.75">
      <c r="A311" s="566" t="str">
        <f t="shared" si="9"/>
        <v>Interés</v>
      </c>
      <c r="B311" s="594" t="s">
        <v>57</v>
      </c>
      <c r="C311" s="571" t="s">
        <v>604</v>
      </c>
    </row>
    <row r="312" spans="1:3" ht="15.75">
      <c r="A312" s="566" t="str">
        <f t="shared" si="9"/>
        <v>Tasa de Interés</v>
      </c>
      <c r="B312" s="594" t="s">
        <v>100</v>
      </c>
      <c r="C312" s="571" t="s">
        <v>337</v>
      </c>
    </row>
    <row r="313" spans="1:3" ht="15.75">
      <c r="A313" s="566" t="str">
        <f t="shared" si="9"/>
        <v>Reembolso</v>
      </c>
      <c r="B313" s="594" t="s">
        <v>58</v>
      </c>
      <c r="C313" s="571" t="str">
        <f>C308</f>
        <v>Reembolso</v>
      </c>
    </row>
    <row r="314" spans="1:3" ht="15.75">
      <c r="A314" s="566" t="str">
        <f t="shared" si="9"/>
        <v xml:space="preserve">Crédito Tasa Fija </v>
      </c>
      <c r="B314" s="594" t="s">
        <v>101</v>
      </c>
      <c r="C314" s="571" t="s">
        <v>878</v>
      </c>
    </row>
    <row r="315" spans="1:3" ht="15.75">
      <c r="A315" s="566" t="str">
        <f t="shared" si="9"/>
        <v>Crédito Cuotas Anuales Constantes</v>
      </c>
      <c r="B315" s="594" t="s">
        <v>102</v>
      </c>
      <c r="C315" s="571" t="s">
        <v>879</v>
      </c>
    </row>
    <row r="316" spans="1:3" ht="15.75">
      <c r="A316" s="566" t="str">
        <f t="shared" si="9"/>
        <v>Servicio de Deuda</v>
      </c>
      <c r="B316" s="594" t="s">
        <v>59</v>
      </c>
      <c r="C316" s="571" t="s">
        <v>585</v>
      </c>
    </row>
    <row r="317" spans="1:3" ht="15.75">
      <c r="A317" s="566" t="str">
        <f t="shared" si="9"/>
        <v>Año</v>
      </c>
      <c r="B317" s="594" t="s">
        <v>103</v>
      </c>
      <c r="C317" s="571" t="s">
        <v>11</v>
      </c>
    </row>
    <row r="318" spans="1:3" ht="15.75">
      <c r="A318" s="566" t="str">
        <f t="shared" si="9"/>
        <v>Fin de Reembolso Crédito</v>
      </c>
      <c r="B318" s="594" t="s">
        <v>85</v>
      </c>
      <c r="C318" s="591" t="s">
        <v>599</v>
      </c>
    </row>
    <row r="319" spans="1:3" ht="15.75">
      <c r="A319" s="566" t="str">
        <f t="shared" si="9"/>
        <v>Información Inicial del Crédito</v>
      </c>
      <c r="B319" s="594" t="s">
        <v>309</v>
      </c>
      <c r="C319" s="571" t="s">
        <v>584</v>
      </c>
    </row>
    <row r="320" spans="1:3" ht="15.75">
      <c r="A320" s="566" t="str">
        <f t="shared" si="9"/>
        <v>Análisis de Sensibilidad Crédito</v>
      </c>
      <c r="B320" s="594" t="s">
        <v>275</v>
      </c>
      <c r="C320" s="583" t="s">
        <v>605</v>
      </c>
    </row>
    <row r="321" spans="1:3" ht="15.75">
      <c r="A321" s="588" t="s">
        <v>286</v>
      </c>
      <c r="B321" s="588"/>
      <c r="C321" s="598" t="s">
        <v>606</v>
      </c>
    </row>
    <row r="322" spans="1:3" ht="15.75">
      <c r="A322" s="566" t="str">
        <f t="shared" ref="A322:A354" si="10">INDEX(B322:C322,1,HLOOKUP($A$1,$B$1:$C$2,2,0))</f>
        <v>Eficiencia Energética</v>
      </c>
      <c r="B322" s="594" t="s">
        <v>418</v>
      </c>
      <c r="C322" s="571" t="s">
        <v>750</v>
      </c>
    </row>
    <row r="323" spans="1:3" ht="15.75">
      <c r="A323" s="566" t="str">
        <f t="shared" si="10"/>
        <v>Área Térmica</v>
      </c>
      <c r="B323" s="594" t="s">
        <v>175</v>
      </c>
      <c r="C323" s="571" t="s">
        <v>751</v>
      </c>
    </row>
    <row r="324" spans="1:3" ht="15.75">
      <c r="A324" s="566" t="str">
        <f t="shared" si="10"/>
        <v>Área Hidráulica</v>
      </c>
      <c r="B324" s="594" t="s">
        <v>183</v>
      </c>
      <c r="C324" s="571" t="s">
        <v>858</v>
      </c>
    </row>
    <row r="325" spans="1:3" ht="15.75">
      <c r="A325" s="566" t="str">
        <f t="shared" si="10"/>
        <v>Vida Útil Medidas</v>
      </c>
      <c r="B325" s="594" t="s">
        <v>741</v>
      </c>
      <c r="C325" s="571" t="s">
        <v>825</v>
      </c>
    </row>
    <row r="326" spans="1:3" ht="15.75">
      <c r="A326" s="566" t="str">
        <f t="shared" si="10"/>
        <v>Costos RRHH</v>
      </c>
      <c r="B326" s="594" t="s">
        <v>130</v>
      </c>
      <c r="C326" s="571" t="s">
        <v>709</v>
      </c>
    </row>
    <row r="327" spans="1:3" ht="15.75">
      <c r="A327" s="566" t="str">
        <f t="shared" si="10"/>
        <v>Costos Administrativos</v>
      </c>
      <c r="B327" s="594" t="s">
        <v>131</v>
      </c>
      <c r="C327" s="571" t="s">
        <v>335</v>
      </c>
    </row>
    <row r="328" spans="1:3" ht="15.75">
      <c r="A328" s="566" t="str">
        <f t="shared" si="10"/>
        <v>Suma Costos Mantención</v>
      </c>
      <c r="B328" s="594" t="s">
        <v>438</v>
      </c>
      <c r="C328" s="571" t="s">
        <v>752</v>
      </c>
    </row>
    <row r="329" spans="1:3" ht="15.75">
      <c r="A329" s="566" t="str">
        <f t="shared" si="10"/>
        <v>Costos Esporádicos (ej. Recambio piezas)</v>
      </c>
      <c r="B329" s="594" t="s">
        <v>474</v>
      </c>
      <c r="C329" s="571" t="s">
        <v>859</v>
      </c>
    </row>
    <row r="330" spans="1:3" ht="15.75">
      <c r="A330" s="566" t="str">
        <f t="shared" si="10"/>
        <v>Iluminación</v>
      </c>
      <c r="B330" s="594" t="s">
        <v>486</v>
      </c>
      <c r="C330" s="571" t="s">
        <v>753</v>
      </c>
    </row>
    <row r="331" spans="1:3" ht="15.75">
      <c r="A331" s="566" t="str">
        <f t="shared" si="10"/>
        <v>Potencia Instalada por Foco de Luz</v>
      </c>
      <c r="B331" s="594" t="s">
        <v>426</v>
      </c>
      <c r="C331" s="571" t="s">
        <v>755</v>
      </c>
    </row>
    <row r="332" spans="1:3" ht="15.75">
      <c r="A332" s="566" t="str">
        <f t="shared" si="10"/>
        <v>Cantidad Focos Luz</v>
      </c>
      <c r="B332" s="594" t="s">
        <v>428</v>
      </c>
      <c r="C332" s="571" t="s">
        <v>754</v>
      </c>
    </row>
    <row r="333" spans="1:3" ht="15.75">
      <c r="A333" s="566" t="str">
        <f t="shared" si="10"/>
        <v>Horas Uso Anual</v>
      </c>
      <c r="B333" s="594" t="s">
        <v>429</v>
      </c>
      <c r="C333" s="571" t="s">
        <v>756</v>
      </c>
    </row>
    <row r="334" spans="1:3" ht="15.75">
      <c r="A334" s="566" t="str">
        <f t="shared" si="10"/>
        <v xml:space="preserve">Costos Inversión por Foco de Luz </v>
      </c>
      <c r="B334" s="594" t="s">
        <v>431</v>
      </c>
      <c r="C334" s="571" t="s">
        <v>860</v>
      </c>
    </row>
    <row r="335" spans="1:3" ht="15.75">
      <c r="A335" s="566" t="str">
        <f t="shared" si="10"/>
        <v>Costos Instalación Inicial</v>
      </c>
      <c r="B335" s="594" t="s">
        <v>434</v>
      </c>
      <c r="C335" s="571" t="s">
        <v>757</v>
      </c>
    </row>
    <row r="336" spans="1:3" ht="15.75">
      <c r="A336" s="566" t="str">
        <f t="shared" si="10"/>
        <v>Costos Mantención</v>
      </c>
      <c r="B336" s="594" t="s">
        <v>433</v>
      </c>
      <c r="C336" s="571" t="s">
        <v>684</v>
      </c>
    </row>
    <row r="337" spans="1:3" ht="15.75">
      <c r="A337" s="566" t="str">
        <f t="shared" si="10"/>
        <v>Vida Útil Foco Luz</v>
      </c>
      <c r="B337" s="594" t="s">
        <v>432</v>
      </c>
      <c r="C337" s="571" t="s">
        <v>762</v>
      </c>
    </row>
    <row r="338" spans="1:3" ht="15.75">
      <c r="A338" s="566" t="str">
        <f t="shared" si="10"/>
        <v>Consumo Energía Total</v>
      </c>
      <c r="B338" s="594" t="s">
        <v>824</v>
      </c>
      <c r="C338" s="571" t="s">
        <v>822</v>
      </c>
    </row>
    <row r="339" spans="1:3" ht="15.75">
      <c r="A339" s="566" t="str">
        <f t="shared" si="10"/>
        <v>Costos Inversión (sin Planificación y Reserva)</v>
      </c>
      <c r="B339" s="594" t="s">
        <v>439</v>
      </c>
      <c r="C339" s="571" t="s">
        <v>758</v>
      </c>
    </row>
    <row r="340" spans="1:3" ht="15.75">
      <c r="A340" s="566" t="str">
        <f t="shared" si="10"/>
        <v>Antes de Saneamiento</v>
      </c>
      <c r="B340" s="594" t="s">
        <v>424</v>
      </c>
      <c r="C340" s="571" t="s">
        <v>759</v>
      </c>
    </row>
    <row r="341" spans="1:3" ht="15.75">
      <c r="A341" s="566" t="str">
        <f t="shared" si="10"/>
        <v>Después de Saneamiento</v>
      </c>
      <c r="B341" s="594" t="s">
        <v>425</v>
      </c>
      <c r="C341" s="571" t="s">
        <v>760</v>
      </c>
    </row>
    <row r="342" spans="1:3" ht="15.75">
      <c r="A342" s="566" t="str">
        <f t="shared" si="10"/>
        <v>US$/Foco Luz</v>
      </c>
      <c r="B342" s="594" t="s">
        <v>442</v>
      </c>
      <c r="C342" s="571" t="s">
        <v>761</v>
      </c>
    </row>
    <row r="343" spans="1:3" ht="15.75">
      <c r="A343" s="566" t="str">
        <f t="shared" si="10"/>
        <v>Visión General sobre Medidas de Eficiencia y Ahorro de Costos Energéticos para Cálculo de Rentabilidades</v>
      </c>
      <c r="B343" s="594" t="s">
        <v>213</v>
      </c>
      <c r="C343" s="571" t="s">
        <v>607</v>
      </c>
    </row>
    <row r="344" spans="1:3" ht="15.75">
      <c r="A344" s="566" t="str">
        <f t="shared" si="10"/>
        <v>Área Eléctrica</v>
      </c>
      <c r="B344" s="594" t="s">
        <v>163</v>
      </c>
      <c r="C344" s="583" t="s">
        <v>610</v>
      </c>
    </row>
    <row r="345" spans="1:3" ht="15.75">
      <c r="A345" s="566" t="str">
        <f t="shared" si="10"/>
        <v>Medidas Ventilación</v>
      </c>
      <c r="B345" s="594" t="s">
        <v>169</v>
      </c>
      <c r="C345" s="571" t="s">
        <v>608</v>
      </c>
    </row>
    <row r="346" spans="1:3" ht="15.75">
      <c r="A346" s="566" t="str">
        <f t="shared" si="10"/>
        <v>Medidas Iluminación</v>
      </c>
      <c r="B346" s="594" t="s">
        <v>310</v>
      </c>
      <c r="C346" s="571" t="s">
        <v>609</v>
      </c>
    </row>
    <row r="347" spans="1:3" ht="15.75">
      <c r="A347" s="566" t="str">
        <f t="shared" si="10"/>
        <v>Medida I1</v>
      </c>
      <c r="B347" s="594" t="s">
        <v>170</v>
      </c>
      <c r="C347" s="571" t="s">
        <v>854</v>
      </c>
    </row>
    <row r="348" spans="1:3" ht="15.75">
      <c r="A348" s="566" t="str">
        <f t="shared" si="10"/>
        <v>Medida I2</v>
      </c>
      <c r="B348" s="594" t="s">
        <v>171</v>
      </c>
      <c r="C348" s="571" t="s">
        <v>855</v>
      </c>
    </row>
    <row r="349" spans="1:3" ht="15.75">
      <c r="A349" s="566" t="str">
        <f t="shared" si="10"/>
        <v>Medida I3</v>
      </c>
      <c r="B349" s="594" t="s">
        <v>172</v>
      </c>
      <c r="C349" s="571" t="s">
        <v>856</v>
      </c>
    </row>
    <row r="350" spans="1:3" ht="15.75">
      <c r="A350" s="566" t="str">
        <f t="shared" si="10"/>
        <v>Medida I4</v>
      </c>
      <c r="B350" s="594" t="s">
        <v>173</v>
      </c>
      <c r="C350" s="571" t="s">
        <v>857</v>
      </c>
    </row>
    <row r="351" spans="1:3" ht="15.75">
      <c r="A351" s="566" t="str">
        <f t="shared" si="10"/>
        <v>Suma Área Eléctrica</v>
      </c>
      <c r="B351" s="594" t="s">
        <v>174</v>
      </c>
      <c r="C351" s="571" t="s">
        <v>611</v>
      </c>
    </row>
    <row r="352" spans="1:3" ht="15.75">
      <c r="A352" s="566" t="str">
        <f t="shared" si="10"/>
        <v>Medidas Calefacción</v>
      </c>
      <c r="B352" s="594" t="s">
        <v>175</v>
      </c>
      <c r="C352" s="571" t="s">
        <v>612</v>
      </c>
    </row>
    <row r="353" spans="1:3" ht="15.75">
      <c r="A353" s="566" t="str">
        <f t="shared" si="10"/>
        <v>Instalación Nuevas Calderas</v>
      </c>
      <c r="B353" s="594" t="s">
        <v>177</v>
      </c>
      <c r="C353" s="583" t="s">
        <v>613</v>
      </c>
    </row>
    <row r="354" spans="1:3" ht="15.75">
      <c r="A354" s="566" t="str">
        <f t="shared" si="10"/>
        <v>Medidas Térmicas</v>
      </c>
      <c r="B354" s="405" t="s">
        <v>767</v>
      </c>
      <c r="C354" s="583" t="s">
        <v>853</v>
      </c>
    </row>
    <row r="355" spans="1:3" ht="15.75">
      <c r="A355" s="566" t="str">
        <f t="shared" ref="A355:A386" si="11">INDEX(B355:C355,1,HLOOKUP($A$1,$B$1:$C$2,2,0))</f>
        <v>Medida T1</v>
      </c>
      <c r="B355" s="594" t="s">
        <v>208</v>
      </c>
      <c r="C355" s="571" t="s">
        <v>843</v>
      </c>
    </row>
    <row r="356" spans="1:3" ht="15.75">
      <c r="A356" s="566" t="str">
        <f t="shared" si="11"/>
        <v>Medida T2</v>
      </c>
      <c r="B356" s="594" t="s">
        <v>178</v>
      </c>
      <c r="C356" s="571" t="s">
        <v>844</v>
      </c>
    </row>
    <row r="357" spans="1:3" ht="15.75">
      <c r="A357" s="566" t="str">
        <f t="shared" si="11"/>
        <v>Medida T3</v>
      </c>
      <c r="B357" s="594" t="s">
        <v>179</v>
      </c>
      <c r="C357" s="571" t="s">
        <v>845</v>
      </c>
    </row>
    <row r="358" spans="1:3" ht="15.75">
      <c r="A358" s="566" t="str">
        <f t="shared" si="11"/>
        <v>Medida T4</v>
      </c>
      <c r="B358" s="594" t="s">
        <v>180</v>
      </c>
      <c r="C358" s="571" t="s">
        <v>846</v>
      </c>
    </row>
    <row r="359" spans="1:3" ht="15.75">
      <c r="A359" s="566" t="str">
        <f t="shared" si="11"/>
        <v>Medida T5</v>
      </c>
      <c r="B359" s="594" t="s">
        <v>181</v>
      </c>
      <c r="C359" s="571" t="s">
        <v>847</v>
      </c>
    </row>
    <row r="360" spans="1:3" ht="15.75">
      <c r="A360" s="566" t="str">
        <f t="shared" si="11"/>
        <v>Suma Área Térmico</v>
      </c>
      <c r="B360" s="594" t="s">
        <v>182</v>
      </c>
      <c r="C360" s="571" t="s">
        <v>852</v>
      </c>
    </row>
    <row r="361" spans="1:3" ht="15.75">
      <c r="A361" s="566" t="str">
        <f t="shared" si="11"/>
        <v>Medidas Hidráulicas</v>
      </c>
      <c r="B361" s="594" t="s">
        <v>183</v>
      </c>
      <c r="C361" s="571" t="s">
        <v>386</v>
      </c>
    </row>
    <row r="362" spans="1:3" ht="15.75">
      <c r="A362" s="566" t="str">
        <f t="shared" si="11"/>
        <v>Medida H1</v>
      </c>
      <c r="B362" s="594" t="s">
        <v>186</v>
      </c>
      <c r="C362" s="571" t="s">
        <v>848</v>
      </c>
    </row>
    <row r="363" spans="1:3" ht="15.75">
      <c r="A363" s="566" t="str">
        <f t="shared" si="11"/>
        <v>Medida H2</v>
      </c>
      <c r="B363" s="594" t="s">
        <v>187</v>
      </c>
      <c r="C363" s="571" t="s">
        <v>849</v>
      </c>
    </row>
    <row r="364" spans="1:3" ht="15.75">
      <c r="A364" s="566" t="str">
        <f t="shared" si="11"/>
        <v>Medida H3</v>
      </c>
      <c r="B364" s="594" t="s">
        <v>188</v>
      </c>
      <c r="C364" s="571" t="s">
        <v>850</v>
      </c>
    </row>
    <row r="365" spans="1:3" ht="15.75">
      <c r="A365" s="566" t="str">
        <f t="shared" si="11"/>
        <v>Medida H4</v>
      </c>
      <c r="B365" s="594" t="s">
        <v>189</v>
      </c>
      <c r="C365" s="571" t="s">
        <v>851</v>
      </c>
    </row>
    <row r="366" spans="1:3" ht="15.75">
      <c r="A366" s="566" t="str">
        <f t="shared" si="11"/>
        <v>Suma Área Hidráulica</v>
      </c>
      <c r="B366" s="594" t="s">
        <v>190</v>
      </c>
      <c r="C366" s="571" t="s">
        <v>614</v>
      </c>
    </row>
    <row r="367" spans="1:3" ht="15.75">
      <c r="A367" s="566" t="str">
        <f t="shared" si="11"/>
        <v>Inversion Total Medidas de Ahorro (eléctrica, calefacción e hidráulicas)</v>
      </c>
      <c r="B367" s="594" t="s">
        <v>191</v>
      </c>
      <c r="C367" s="583" t="s">
        <v>615</v>
      </c>
    </row>
    <row r="368" spans="1:3" ht="15.75">
      <c r="A368" s="566" t="str">
        <f t="shared" si="11"/>
        <v>Costos Planificación (%)</v>
      </c>
      <c r="B368" s="594" t="s">
        <v>192</v>
      </c>
      <c r="C368" s="571" t="s">
        <v>617</v>
      </c>
    </row>
    <row r="369" spans="1:3" ht="15.75">
      <c r="A369" s="566" t="str">
        <f t="shared" si="11"/>
        <v>Costos Planificación</v>
      </c>
      <c r="B369" s="594" t="s">
        <v>193</v>
      </c>
      <c r="C369" s="571" t="s">
        <v>616</v>
      </c>
    </row>
    <row r="370" spans="1:3" ht="15.75">
      <c r="A370" s="566" t="str">
        <f t="shared" si="11"/>
        <v>Inversión Total Medidas de Ahorro incluyendo Costos Planificación</v>
      </c>
      <c r="B370" s="594" t="s">
        <v>194</v>
      </c>
      <c r="C370" s="583" t="s">
        <v>618</v>
      </c>
    </row>
    <row r="371" spans="1:3" ht="15.75">
      <c r="A371" s="566" t="str">
        <f t="shared" si="11"/>
        <v>Contingencias (%)</v>
      </c>
      <c r="B371" s="594" t="s">
        <v>196</v>
      </c>
      <c r="C371" s="571" t="s">
        <v>619</v>
      </c>
    </row>
    <row r="372" spans="1:3" ht="15.75">
      <c r="A372" s="566" t="str">
        <f t="shared" si="11"/>
        <v>Contingencias en US$</v>
      </c>
      <c r="B372" s="594" t="s">
        <v>278</v>
      </c>
      <c r="C372" s="571" t="s">
        <v>620</v>
      </c>
    </row>
    <row r="373" spans="1:3" ht="15.75">
      <c r="A373" s="566" t="str">
        <f t="shared" si="11"/>
        <v xml:space="preserve">Otros Costos de Inversión </v>
      </c>
      <c r="B373" s="594" t="s">
        <v>210</v>
      </c>
      <c r="C373" s="571" t="s">
        <v>621</v>
      </c>
    </row>
    <row r="374" spans="1:3" ht="15.75">
      <c r="A374" s="566" t="str">
        <f t="shared" si="11"/>
        <v xml:space="preserve">Inversión  </v>
      </c>
      <c r="B374" s="594" t="s">
        <v>164</v>
      </c>
      <c r="C374" s="571" t="s">
        <v>622</v>
      </c>
    </row>
    <row r="375" spans="1:3" ht="15.75">
      <c r="A375" s="566" t="str">
        <f t="shared" si="11"/>
        <v>Ahorro kWh/a</v>
      </c>
      <c r="B375" s="594" t="s">
        <v>311</v>
      </c>
      <c r="C375" s="571" t="s">
        <v>623</v>
      </c>
    </row>
    <row r="376" spans="1:3" ht="15.75">
      <c r="A376" s="566" t="str">
        <f t="shared" si="11"/>
        <v>Ahorro</v>
      </c>
      <c r="B376" s="594" t="s">
        <v>165</v>
      </c>
      <c r="C376" s="571" t="s">
        <v>624</v>
      </c>
    </row>
    <row r="377" spans="1:3" ht="15.75">
      <c r="A377" s="566" t="str">
        <f t="shared" si="11"/>
        <v>Consumo Eléctrico Diurno (%)</v>
      </c>
      <c r="B377" s="594" t="s">
        <v>312</v>
      </c>
      <c r="C377" s="583" t="s">
        <v>625</v>
      </c>
    </row>
    <row r="378" spans="1:3" ht="15.75">
      <c r="A378" s="566" t="str">
        <f t="shared" si="11"/>
        <v>Ahorro Consumo Eléctrico Diurno</v>
      </c>
      <c r="B378" s="594" t="s">
        <v>313</v>
      </c>
      <c r="C378" s="583" t="s">
        <v>626</v>
      </c>
    </row>
    <row r="379" spans="1:3" ht="15.75">
      <c r="A379" s="566" t="str">
        <f t="shared" si="11"/>
        <v>Ahorro Consumo Eléctrico Nocturno</v>
      </c>
      <c r="B379" s="594" t="s">
        <v>314</v>
      </c>
      <c r="C379" s="583" t="s">
        <v>627</v>
      </c>
    </row>
    <row r="380" spans="1:3" ht="15.75">
      <c r="A380" s="566" t="str">
        <f t="shared" si="11"/>
        <v>Precio Electricidad Día</v>
      </c>
      <c r="B380" s="594" t="s">
        <v>315</v>
      </c>
      <c r="C380" s="571" t="s">
        <v>628</v>
      </c>
    </row>
    <row r="381" spans="1:3" ht="15.75">
      <c r="A381" s="566" t="str">
        <f t="shared" si="11"/>
        <v>Precio Electricidad Noche</v>
      </c>
      <c r="B381" s="594" t="s">
        <v>316</v>
      </c>
      <c r="C381" s="571" t="s">
        <v>629</v>
      </c>
    </row>
    <row r="382" spans="1:3" ht="15.75">
      <c r="A382" s="566" t="str">
        <f t="shared" si="11"/>
        <v>Ahorro Costos Electricidad</v>
      </c>
      <c r="B382" s="594" t="s">
        <v>166</v>
      </c>
      <c r="C382" s="571" t="s">
        <v>643</v>
      </c>
    </row>
    <row r="383" spans="1:3" ht="15.75">
      <c r="A383" s="566" t="str">
        <f t="shared" si="11"/>
        <v>Esperado</v>
      </c>
      <c r="B383" s="594" t="s">
        <v>168</v>
      </c>
      <c r="C383" s="591" t="s">
        <v>630</v>
      </c>
    </row>
    <row r="384" spans="1:3" ht="15.75">
      <c r="A384" s="566" t="str">
        <f t="shared" si="11"/>
        <v>Cuota Bancaria</v>
      </c>
      <c r="B384" s="594" t="s">
        <v>317</v>
      </c>
      <c r="C384" s="571" t="s">
        <v>631</v>
      </c>
    </row>
    <row r="385" spans="1:3" ht="15.75">
      <c r="A385" s="566" t="str">
        <f t="shared" si="11"/>
        <v>Estimado</v>
      </c>
      <c r="B385" s="594" t="s">
        <v>318</v>
      </c>
      <c r="C385" s="571" t="s">
        <v>387</v>
      </c>
    </row>
    <row r="386" spans="1:3" ht="15.75">
      <c r="A386" s="566" t="str">
        <f t="shared" si="11"/>
        <v>Ahorro de Potencia</v>
      </c>
      <c r="B386" s="594" t="s">
        <v>198</v>
      </c>
      <c r="C386" s="571" t="s">
        <v>632</v>
      </c>
    </row>
    <row r="387" spans="1:3" ht="15.75">
      <c r="A387" s="566" t="str">
        <f t="shared" ref="A387:A405" si="12">INDEX(B387:C387,1,HLOOKUP($A$1,$B$1:$C$2,2,0))</f>
        <v>Precio Trabajo</v>
      </c>
      <c r="B387" s="594" t="s">
        <v>200</v>
      </c>
      <c r="C387" s="571" t="s">
        <v>633</v>
      </c>
    </row>
    <row r="388" spans="1:3" ht="15.75">
      <c r="A388" s="566" t="str">
        <f t="shared" si="12"/>
        <v>Precio Potencia</v>
      </c>
      <c r="B388" s="594" t="s">
        <v>201</v>
      </c>
      <c r="C388" s="571" t="s">
        <v>634</v>
      </c>
    </row>
    <row r="389" spans="1:3" ht="15.75">
      <c r="A389" s="566" t="str">
        <f t="shared" si="12"/>
        <v>Ahorro Calefacción</v>
      </c>
      <c r="B389" s="594" t="s">
        <v>176</v>
      </c>
      <c r="C389" s="571" t="s">
        <v>635</v>
      </c>
    </row>
    <row r="390" spans="1:3" ht="15.75">
      <c r="A390" s="566" t="str">
        <f t="shared" si="12"/>
        <v>Precio</v>
      </c>
      <c r="B390" s="594" t="s">
        <v>197</v>
      </c>
      <c r="C390" s="571" t="s">
        <v>636</v>
      </c>
    </row>
    <row r="391" spans="1:3" ht="15.75">
      <c r="A391" s="566" t="str">
        <f t="shared" si="12"/>
        <v>Ahorro Agua</v>
      </c>
      <c r="B391" s="594" t="s">
        <v>184</v>
      </c>
      <c r="C391" s="571" t="s">
        <v>637</v>
      </c>
    </row>
    <row r="392" spans="1:3" ht="15.75">
      <c r="A392" s="566" t="str">
        <f t="shared" si="12"/>
        <v>Evolución Precio Electricidad</v>
      </c>
      <c r="B392" s="594" t="s">
        <v>219</v>
      </c>
      <c r="C392" s="571" t="s">
        <v>638</v>
      </c>
    </row>
    <row r="393" spans="1:3" ht="15.75">
      <c r="A393" s="566" t="str">
        <f t="shared" si="12"/>
        <v xml:space="preserve">Evolución Precio Calefacción </v>
      </c>
      <c r="B393" s="594" t="s">
        <v>220</v>
      </c>
      <c r="C393" s="571" t="s">
        <v>639</v>
      </c>
    </row>
    <row r="394" spans="1:3" ht="15.75">
      <c r="A394" s="566" t="str">
        <f t="shared" si="12"/>
        <v>Evolución Precio Agua</v>
      </c>
      <c r="B394" s="594" t="s">
        <v>221</v>
      </c>
      <c r="C394" s="571" t="s">
        <v>640</v>
      </c>
    </row>
    <row r="395" spans="1:3" ht="15.75">
      <c r="A395" s="566" t="str">
        <f t="shared" si="12"/>
        <v>Evolución General de Precios</v>
      </c>
      <c r="B395" s="594" t="s">
        <v>279</v>
      </c>
      <c r="C395" s="571" t="s">
        <v>641</v>
      </c>
    </row>
    <row r="396" spans="1:3" ht="15.75">
      <c r="A396" s="566" t="str">
        <f t="shared" si="12"/>
        <v>Ahorro Costos Energéticos</v>
      </c>
      <c r="B396" s="594" t="s">
        <v>214</v>
      </c>
      <c r="C396" s="571" t="s">
        <v>642</v>
      </c>
    </row>
    <row r="397" spans="1:3" ht="15.75">
      <c r="A397" s="566" t="str">
        <f t="shared" si="12"/>
        <v>Periodo</v>
      </c>
      <c r="B397" s="594" t="s">
        <v>129</v>
      </c>
      <c r="C397" s="571" t="s">
        <v>10</v>
      </c>
    </row>
    <row r="398" spans="1:3" ht="15.75">
      <c r="A398" s="566" t="str">
        <f t="shared" si="12"/>
        <v>Año</v>
      </c>
      <c r="B398" s="594" t="s">
        <v>103</v>
      </c>
      <c r="C398" s="571" t="s">
        <v>11</v>
      </c>
    </row>
    <row r="399" spans="1:3" ht="15.75">
      <c r="A399" s="566" t="str">
        <f t="shared" si="12"/>
        <v>Ahorro Costos Electricidad</v>
      </c>
      <c r="B399" s="594" t="s">
        <v>215</v>
      </c>
      <c r="C399" s="571" t="str">
        <f>C382</f>
        <v>Ahorro Costos Electricidad</v>
      </c>
    </row>
    <row r="400" spans="1:3" ht="15.75">
      <c r="A400" s="566" t="str">
        <f t="shared" si="12"/>
        <v>Ahorro Costos Calefacción</v>
      </c>
      <c r="B400" s="594" t="s">
        <v>216</v>
      </c>
      <c r="C400" s="571" t="s">
        <v>644</v>
      </c>
    </row>
    <row r="401" spans="1:3" ht="15.75">
      <c r="A401" s="566" t="str">
        <f t="shared" si="12"/>
        <v>Ahorro Costos Agua</v>
      </c>
      <c r="B401" s="594" t="s">
        <v>217</v>
      </c>
      <c r="C401" s="571" t="s">
        <v>645</v>
      </c>
    </row>
    <row r="402" spans="1:3" ht="15.75">
      <c r="A402" s="566" t="str">
        <f t="shared" si="12"/>
        <v>Total Ahorro</v>
      </c>
      <c r="B402" s="594" t="s">
        <v>218</v>
      </c>
      <c r="C402" s="571" t="s">
        <v>646</v>
      </c>
    </row>
    <row r="403" spans="1:3" ht="15.75">
      <c r="A403" s="566" t="str">
        <f t="shared" si="12"/>
        <v>Costo Anual Medidas Eléctricas</v>
      </c>
      <c r="B403" s="594" t="s">
        <v>280</v>
      </c>
      <c r="C403" s="571" t="s">
        <v>647</v>
      </c>
    </row>
    <row r="404" spans="1:3" ht="15.75">
      <c r="A404" s="566" t="str">
        <f t="shared" si="12"/>
        <v>Costo Anual Medidas Calefacción</v>
      </c>
      <c r="B404" s="594" t="s">
        <v>281</v>
      </c>
      <c r="C404" s="571" t="s">
        <v>648</v>
      </c>
    </row>
    <row r="405" spans="1:3" ht="15.75">
      <c r="A405" s="566" t="str">
        <f t="shared" si="12"/>
        <v>Costo Anual Medidas Agua</v>
      </c>
      <c r="B405" s="594" t="s">
        <v>282</v>
      </c>
      <c r="C405" s="571" t="s">
        <v>649</v>
      </c>
    </row>
    <row r="406" spans="1:3">
      <c r="A406" s="566"/>
      <c r="B406" s="599"/>
      <c r="C406" s="594"/>
    </row>
    <row r="407" spans="1:3">
      <c r="A407" s="588" t="s">
        <v>287</v>
      </c>
      <c r="B407" s="588"/>
      <c r="C407" s="588" t="s">
        <v>650</v>
      </c>
    </row>
    <row r="408" spans="1:3" ht="15.75">
      <c r="A408" s="566" t="str">
        <f t="shared" ref="A408:A445" si="13">INDEX(B408:C408,1,HLOOKUP($A$1,$B$1:$C$2,2,0))</f>
        <v>Datos Base</v>
      </c>
      <c r="B408" s="594" t="s">
        <v>419</v>
      </c>
      <c r="C408" s="571" t="s">
        <v>763</v>
      </c>
    </row>
    <row r="409" spans="1:3" ht="15.75">
      <c r="A409" s="566" t="str">
        <f t="shared" si="13"/>
        <v>Unidad</v>
      </c>
      <c r="B409" s="594" t="s">
        <v>451</v>
      </c>
      <c r="C409" s="571" t="s">
        <v>688</v>
      </c>
    </row>
    <row r="410" spans="1:3" ht="15.75">
      <c r="A410" s="566" t="str">
        <f t="shared" si="13"/>
        <v>Valor</v>
      </c>
      <c r="B410" s="594" t="s">
        <v>452</v>
      </c>
      <c r="C410" s="571" t="s">
        <v>385</v>
      </c>
    </row>
    <row r="411" spans="1:3" ht="15.75">
      <c r="A411" s="566" t="str">
        <f t="shared" si="13"/>
        <v>Rangos Empíricos</v>
      </c>
      <c r="B411" s="594" t="s">
        <v>394</v>
      </c>
      <c r="C411" s="571" t="s">
        <v>842</v>
      </c>
    </row>
    <row r="412" spans="1:3" ht="15.75">
      <c r="A412" s="566" t="str">
        <f t="shared" si="13"/>
        <v>Alto</v>
      </c>
      <c r="B412" s="594" t="s">
        <v>494</v>
      </c>
      <c r="C412" s="571" t="s">
        <v>652</v>
      </c>
    </row>
    <row r="413" spans="1:3" ht="15.75">
      <c r="A413" s="566" t="str">
        <f t="shared" si="13"/>
        <v>Medio</v>
      </c>
      <c r="B413" s="594" t="s">
        <v>495</v>
      </c>
      <c r="C413" s="571" t="s">
        <v>653</v>
      </c>
    </row>
    <row r="414" spans="1:3" ht="15.75">
      <c r="A414" s="566" t="str">
        <f t="shared" si="13"/>
        <v>Bajo</v>
      </c>
      <c r="B414" s="594" t="s">
        <v>239</v>
      </c>
      <c r="C414" s="571" t="s">
        <v>654</v>
      </c>
    </row>
    <row r="415" spans="1:3" ht="15.75">
      <c r="A415" s="566" t="str">
        <f t="shared" si="13"/>
        <v>Capacidad Instalada</v>
      </c>
      <c r="B415" s="594" t="s">
        <v>423</v>
      </c>
      <c r="C415" s="571" t="s">
        <v>655</v>
      </c>
    </row>
    <row r="416" spans="1:3" ht="15.75">
      <c r="A416" s="566" t="str">
        <f t="shared" si="13"/>
        <v>CAPEX</v>
      </c>
      <c r="B416" s="594" t="s">
        <v>447</v>
      </c>
      <c r="C416" s="571" t="s">
        <v>447</v>
      </c>
    </row>
    <row r="417" spans="1:3" ht="15.75">
      <c r="A417" s="566" t="str">
        <f t="shared" si="13"/>
        <v>Costos Inversión Específicos</v>
      </c>
      <c r="B417" s="594" t="s">
        <v>492</v>
      </c>
      <c r="C417" s="571" t="s">
        <v>880</v>
      </c>
    </row>
    <row r="418" spans="1:3" ht="15.75">
      <c r="A418" s="566" t="str">
        <f t="shared" si="13"/>
        <v>Factor de Capacidad</v>
      </c>
      <c r="B418" s="594" t="s">
        <v>395</v>
      </c>
      <c r="C418" s="571" t="s">
        <v>657</v>
      </c>
    </row>
    <row r="419" spans="1:3" ht="15.75">
      <c r="A419" s="566" t="str">
        <f t="shared" si="13"/>
        <v>Horas Funcionamiento (Factor Capacidad x 8.760h)</v>
      </c>
      <c r="B419" s="594" t="s">
        <v>461</v>
      </c>
      <c r="C419" s="571" t="s">
        <v>706</v>
      </c>
    </row>
    <row r="420" spans="1:3" ht="15.75">
      <c r="A420" s="566" t="str">
        <f t="shared" si="13"/>
        <v xml:space="preserve">Degradación Anual de Producción </v>
      </c>
      <c r="B420" s="594" t="s">
        <v>493</v>
      </c>
      <c r="C420" s="571" t="s">
        <v>689</v>
      </c>
    </row>
    <row r="421" spans="1:3" ht="15.75">
      <c r="A421" s="566" t="str">
        <f t="shared" si="13"/>
        <v>Vida Útil</v>
      </c>
      <c r="B421" s="594" t="s">
        <v>440</v>
      </c>
      <c r="C421" s="571" t="s">
        <v>658</v>
      </c>
    </row>
    <row r="422" spans="1:3" ht="15.75">
      <c r="A422" s="566" t="str">
        <f t="shared" si="13"/>
        <v>Precio Venta Electricidad</v>
      </c>
      <c r="B422" s="594" t="s">
        <v>448</v>
      </c>
      <c r="C422" s="571" t="s">
        <v>680</v>
      </c>
    </row>
    <row r="423" spans="1:3" ht="15.75">
      <c r="A423" s="566" t="str">
        <f t="shared" si="13"/>
        <v>Precio de Compra</v>
      </c>
      <c r="B423" s="594" t="s">
        <v>388</v>
      </c>
      <c r="C423" s="571" t="str">
        <f>C464</f>
        <v>Precio de Compra</v>
      </c>
    </row>
    <row r="424" spans="1:3" ht="15.75">
      <c r="A424" s="566" t="str">
        <f t="shared" si="13"/>
        <v>% Electricidad Uso Propio</v>
      </c>
      <c r="B424" s="594" t="s">
        <v>389</v>
      </c>
      <c r="C424" s="571" t="str">
        <f t="shared" ref="C424:C435" si="14">C465</f>
        <v>% Electricidad Uso Propio</v>
      </c>
    </row>
    <row r="425" spans="1:3" ht="15.75">
      <c r="A425" s="566" t="str">
        <f t="shared" si="13"/>
        <v>Incremento Anual Precio Venta %</v>
      </c>
      <c r="B425" s="594" t="s">
        <v>449</v>
      </c>
      <c r="C425" s="571" t="str">
        <f t="shared" si="14"/>
        <v>Incremento Anual Precio Venta %</v>
      </c>
    </row>
    <row r="426" spans="1:3" ht="15.75">
      <c r="A426" s="566" t="str">
        <f t="shared" si="13"/>
        <v>Incremento Anual Precio Compra %</v>
      </c>
      <c r="B426" s="594" t="s">
        <v>450</v>
      </c>
      <c r="C426" s="571" t="str">
        <f t="shared" si="14"/>
        <v>Incremento Anual Precio Compra %</v>
      </c>
    </row>
    <row r="427" spans="1:3" ht="15.75">
      <c r="A427" s="566" t="str">
        <f t="shared" si="13"/>
        <v>Tasa de Inflación (Incremento Costos Mantención)</v>
      </c>
      <c r="B427" s="594" t="s">
        <v>437</v>
      </c>
      <c r="C427" s="571" t="str">
        <f t="shared" si="14"/>
        <v>Tasa de Inflación (Incremento Costos Mantención)</v>
      </c>
    </row>
    <row r="428" spans="1:3" ht="15.75">
      <c r="A428" s="566" t="str">
        <f t="shared" si="13"/>
        <v>Arriendo Anual</v>
      </c>
      <c r="B428" s="594" t="s">
        <v>453</v>
      </c>
      <c r="C428" s="571" t="str">
        <f t="shared" si="14"/>
        <v>Arriendo Anual</v>
      </c>
    </row>
    <row r="429" spans="1:3" ht="15.75">
      <c r="A429" s="566" t="str">
        <f t="shared" si="13"/>
        <v>Seguros</v>
      </c>
      <c r="B429" s="594" t="s">
        <v>114</v>
      </c>
      <c r="C429" s="571" t="str">
        <f t="shared" si="14"/>
        <v>Seguros</v>
      </c>
    </row>
    <row r="430" spans="1:3" ht="15.75">
      <c r="A430" s="566" t="str">
        <f t="shared" si="13"/>
        <v>Contador</v>
      </c>
      <c r="B430" s="594" t="s">
        <v>462</v>
      </c>
      <c r="C430" s="571" t="str">
        <f t="shared" si="14"/>
        <v>Contador</v>
      </c>
    </row>
    <row r="431" spans="1:3" ht="15.75">
      <c r="A431" s="566" t="str">
        <f t="shared" si="13"/>
        <v>Otros (ej. Insumos operacionales)</v>
      </c>
      <c r="B431" s="594" t="s">
        <v>484</v>
      </c>
      <c r="C431" s="571" t="str">
        <f t="shared" si="14"/>
        <v>Otros (ej. Insumos operacionales)</v>
      </c>
    </row>
    <row r="432" spans="1:3" ht="15.75">
      <c r="A432" s="566" t="str">
        <f t="shared" si="13"/>
        <v>Costos de Mantención</v>
      </c>
      <c r="B432" s="594" t="s">
        <v>132</v>
      </c>
      <c r="C432" s="571" t="str">
        <f t="shared" si="14"/>
        <v>Costos de Mantención</v>
      </c>
    </row>
    <row r="433" spans="1:3" ht="15.75">
      <c r="A433" s="566" t="str">
        <f t="shared" si="13"/>
        <v>Suma Costos Variables Anuales</v>
      </c>
      <c r="B433" s="594" t="s">
        <v>456</v>
      </c>
      <c r="C433" s="571" t="str">
        <f t="shared" si="14"/>
        <v>Suma Costos Variables Anuales</v>
      </c>
    </row>
    <row r="434" spans="1:3" ht="15.75">
      <c r="A434" s="566" t="str">
        <f t="shared" si="13"/>
        <v>Año</v>
      </c>
      <c r="B434" s="594" t="s">
        <v>103</v>
      </c>
      <c r="C434" s="571" t="str">
        <f t="shared" si="14"/>
        <v>Año</v>
      </c>
    </row>
    <row r="435" spans="1:3" ht="15.75">
      <c r="A435" s="566" t="str">
        <f t="shared" si="13"/>
        <v>Periodo</v>
      </c>
      <c r="B435" s="594" t="s">
        <v>129</v>
      </c>
      <c r="C435" s="571" t="str">
        <f t="shared" si="14"/>
        <v>Periodo</v>
      </c>
    </row>
    <row r="436" spans="1:3" ht="15.75">
      <c r="A436" s="566" t="str">
        <f t="shared" si="13"/>
        <v>Producción Electricidad (kWh/a)</v>
      </c>
      <c r="B436" s="594" t="s">
        <v>390</v>
      </c>
      <c r="C436" s="571" t="s">
        <v>694</v>
      </c>
    </row>
    <row r="437" spans="1:3" ht="15.75">
      <c r="A437" s="566" t="str">
        <f t="shared" si="13"/>
        <v>Ingreso/Ahorro Consumo Propio (US$/a)</v>
      </c>
      <c r="B437" s="594" t="s">
        <v>454</v>
      </c>
      <c r="C437" s="571" t="s">
        <v>692</v>
      </c>
    </row>
    <row r="438" spans="1:3" ht="15.75">
      <c r="A438" s="566" t="str">
        <f t="shared" si="13"/>
        <v>Ingreso por Inyección a Red/Venta Electricidad (US$/a)</v>
      </c>
      <c r="B438" s="594" t="s">
        <v>455</v>
      </c>
      <c r="C438" s="571" t="s">
        <v>693</v>
      </c>
    </row>
    <row r="439" spans="1:3" ht="15.75">
      <c r="A439" s="566" t="str">
        <f t="shared" si="13"/>
        <v>Suma Ingresos Equipo/Planta (US$/a)</v>
      </c>
      <c r="B439" s="594" t="s">
        <v>391</v>
      </c>
      <c r="C439" s="571" t="s">
        <v>729</v>
      </c>
    </row>
    <row r="440" spans="1:3" ht="15.75">
      <c r="A440" s="566" t="str">
        <f t="shared" si="13"/>
        <v>Costos de Personal</v>
      </c>
      <c r="B440" s="594" t="s">
        <v>130</v>
      </c>
      <c r="C440" s="571" t="str">
        <f>C481</f>
        <v>Costos de Personal</v>
      </c>
    </row>
    <row r="441" spans="1:3" ht="15.75">
      <c r="A441" s="566" t="str">
        <f t="shared" si="13"/>
        <v>Costos Administrativos</v>
      </c>
      <c r="B441" s="594" t="s">
        <v>131</v>
      </c>
      <c r="C441" s="571" t="str">
        <f>C482</f>
        <v>Costos Administrativos</v>
      </c>
    </row>
    <row r="442" spans="1:3" ht="15.75">
      <c r="A442" s="566" t="str">
        <f t="shared" si="13"/>
        <v>Costos Variables (Mantención, insumos)</v>
      </c>
      <c r="B442" s="594" t="s">
        <v>483</v>
      </c>
      <c r="C442" s="571" t="str">
        <f>C483</f>
        <v>Costos Variables (Mantención, insumos)</v>
      </c>
    </row>
    <row r="443" spans="1:3" ht="15.75">
      <c r="A443" s="566" t="str">
        <f t="shared" si="13"/>
        <v>Costos Esporádicos (ej. Cambio Inversor)</v>
      </c>
      <c r="B443" s="594" t="s">
        <v>459</v>
      </c>
      <c r="C443" s="571" t="str">
        <f>C484</f>
        <v>Costos Esporádicos (ej. Cambio Inversor)</v>
      </c>
    </row>
    <row r="444" spans="1:3" ht="15.75">
      <c r="A444" s="566" t="str">
        <f t="shared" si="13"/>
        <v xml:space="preserve">Arriendo  </v>
      </c>
      <c r="B444" s="594" t="s">
        <v>113</v>
      </c>
      <c r="C444" s="571" t="str">
        <f>C485</f>
        <v xml:space="preserve">Arriendo  </v>
      </c>
    </row>
    <row r="445" spans="1:3" ht="15.75">
      <c r="A445" s="566" t="str">
        <f t="shared" si="13"/>
        <v>approx. 2 % de los costos de inversión</v>
      </c>
      <c r="B445" s="594" t="s">
        <v>818</v>
      </c>
      <c r="C445" s="571" t="s">
        <v>819</v>
      </c>
    </row>
    <row r="446" spans="1:3" ht="15.75">
      <c r="A446" s="566"/>
      <c r="B446" s="594"/>
      <c r="C446" s="571"/>
    </row>
    <row r="447" spans="1:3">
      <c r="A447" s="588" t="s">
        <v>288</v>
      </c>
      <c r="B447" s="588"/>
      <c r="C447" s="588" t="s">
        <v>690</v>
      </c>
    </row>
    <row r="448" spans="1:3" ht="15.75">
      <c r="A448" s="566" t="str">
        <f t="shared" ref="A448:A485" si="15">INDEX(B448:C448,1,HLOOKUP($A$1,$B$1:$C$2,2,0))</f>
        <v>Energía eolica</v>
      </c>
      <c r="B448" s="594" t="s">
        <v>460</v>
      </c>
      <c r="C448" s="571" t="s">
        <v>496</v>
      </c>
    </row>
    <row r="449" spans="1:3" ht="15.75">
      <c r="A449" s="566" t="str">
        <f t="shared" si="15"/>
        <v>Datos Base</v>
      </c>
      <c r="B449" s="594" t="s">
        <v>419</v>
      </c>
      <c r="C449" s="571" t="s">
        <v>763</v>
      </c>
    </row>
    <row r="450" spans="1:3" ht="15.75">
      <c r="A450" s="566" t="str">
        <f t="shared" si="15"/>
        <v>Unidad</v>
      </c>
      <c r="B450" s="594" t="s">
        <v>451</v>
      </c>
      <c r="C450" s="571" t="str">
        <f>C409</f>
        <v>Unidad</v>
      </c>
    </row>
    <row r="451" spans="1:3" ht="15.75">
      <c r="A451" s="566" t="str">
        <f t="shared" si="15"/>
        <v>Valor</v>
      </c>
      <c r="B451" s="594" t="s">
        <v>452</v>
      </c>
      <c r="C451" s="571" t="s">
        <v>385</v>
      </c>
    </row>
    <row r="452" spans="1:3" ht="15.75">
      <c r="A452" s="566" t="str">
        <f t="shared" si="15"/>
        <v>Valor Referencial</v>
      </c>
      <c r="B452" s="594" t="s">
        <v>394</v>
      </c>
      <c r="C452" s="571" t="s">
        <v>651</v>
      </c>
    </row>
    <row r="453" spans="1:3" ht="15.75">
      <c r="A453" s="566" t="str">
        <f t="shared" si="15"/>
        <v>Alto</v>
      </c>
      <c r="B453" s="594" t="s">
        <v>494</v>
      </c>
      <c r="C453" s="571" t="s">
        <v>652</v>
      </c>
    </row>
    <row r="454" spans="1:3" ht="15.75">
      <c r="A454" s="566" t="str">
        <f t="shared" si="15"/>
        <v>Medio</v>
      </c>
      <c r="B454" s="594" t="s">
        <v>495</v>
      </c>
      <c r="C454" s="571" t="s">
        <v>653</v>
      </c>
    </row>
    <row r="455" spans="1:3" ht="15.75">
      <c r="A455" s="566" t="str">
        <f t="shared" si="15"/>
        <v>Bajo</v>
      </c>
      <c r="B455" s="594" t="s">
        <v>239</v>
      </c>
      <c r="C455" s="571" t="s">
        <v>654</v>
      </c>
    </row>
    <row r="456" spans="1:3" ht="15.75">
      <c r="A456" s="566" t="str">
        <f t="shared" si="15"/>
        <v>Capacidad Instalada</v>
      </c>
      <c r="B456" s="594" t="s">
        <v>423</v>
      </c>
      <c r="C456" s="571" t="s">
        <v>655</v>
      </c>
    </row>
    <row r="457" spans="1:3" ht="15.75">
      <c r="A457" s="566" t="str">
        <f t="shared" si="15"/>
        <v>CAPEX</v>
      </c>
      <c r="B457" s="594" t="s">
        <v>447</v>
      </c>
      <c r="C457" s="571" t="s">
        <v>447</v>
      </c>
    </row>
    <row r="458" spans="1:3" ht="15.75">
      <c r="A458" s="566" t="str">
        <f t="shared" si="15"/>
        <v>Costos de Inversión Específicos</v>
      </c>
      <c r="B458" s="594" t="s">
        <v>492</v>
      </c>
      <c r="C458" s="571" t="s">
        <v>656</v>
      </c>
    </row>
    <row r="459" spans="1:3" ht="15.75">
      <c r="A459" s="566" t="str">
        <f t="shared" si="15"/>
        <v>Factor de Capacidad</v>
      </c>
      <c r="B459" s="594" t="s">
        <v>395</v>
      </c>
      <c r="C459" s="571" t="s">
        <v>657</v>
      </c>
    </row>
    <row r="460" spans="1:3" ht="15.75">
      <c r="A460" s="566" t="str">
        <f t="shared" si="15"/>
        <v>Horas Funcionamiento (Factor Capacidad x 8.760h)</v>
      </c>
      <c r="B460" s="594" t="s">
        <v>461</v>
      </c>
      <c r="C460" s="571" t="str">
        <f>C419</f>
        <v>Horas Funcionamiento (Factor Capacidad x 8.760h)</v>
      </c>
    </row>
    <row r="461" spans="1:3" ht="15.75">
      <c r="A461" s="566" t="str">
        <f t="shared" si="15"/>
        <v>Degradación Anual de Producción</v>
      </c>
      <c r="B461" s="594" t="s">
        <v>493</v>
      </c>
      <c r="C461" s="571" t="s">
        <v>669</v>
      </c>
    </row>
    <row r="462" spans="1:3" ht="15.75">
      <c r="A462" s="566" t="str">
        <f t="shared" si="15"/>
        <v>Vida Útil</v>
      </c>
      <c r="B462" s="594" t="s">
        <v>440</v>
      </c>
      <c r="C462" s="571" t="s">
        <v>658</v>
      </c>
    </row>
    <row r="463" spans="1:3" ht="15.75">
      <c r="A463" s="566" t="str">
        <f t="shared" si="15"/>
        <v>Precio Venta Electricidad</v>
      </c>
      <c r="B463" s="594" t="s">
        <v>448</v>
      </c>
      <c r="C463" s="571" t="s">
        <v>680</v>
      </c>
    </row>
    <row r="464" spans="1:3" ht="15.75">
      <c r="A464" s="566" t="str">
        <f t="shared" si="15"/>
        <v>Precio de Compra</v>
      </c>
      <c r="B464" s="594" t="s">
        <v>388</v>
      </c>
      <c r="C464" s="571" t="s">
        <v>659</v>
      </c>
    </row>
    <row r="465" spans="1:3" ht="15.75">
      <c r="A465" s="566" t="str">
        <f t="shared" si="15"/>
        <v>% Electricidad Uso Propio</v>
      </c>
      <c r="B465" s="594" t="s">
        <v>389</v>
      </c>
      <c r="C465" s="571" t="s">
        <v>682</v>
      </c>
    </row>
    <row r="466" spans="1:3" ht="15.75">
      <c r="A466" s="566" t="str">
        <f t="shared" si="15"/>
        <v>Incremento Anual Precio Venta %</v>
      </c>
      <c r="B466" s="594" t="s">
        <v>449</v>
      </c>
      <c r="C466" s="571" t="s">
        <v>661</v>
      </c>
    </row>
    <row r="467" spans="1:3" ht="15.75">
      <c r="A467" s="566" t="str">
        <f t="shared" si="15"/>
        <v>Incremento Anual Precio Compra %</v>
      </c>
      <c r="B467" s="594" t="s">
        <v>450</v>
      </c>
      <c r="C467" s="571" t="s">
        <v>660</v>
      </c>
    </row>
    <row r="468" spans="1:3" ht="15.75">
      <c r="A468" s="566" t="str">
        <f t="shared" si="15"/>
        <v>Tasa de Inflación (Incremento Costos Mantención)</v>
      </c>
      <c r="B468" s="594" t="s">
        <v>437</v>
      </c>
      <c r="C468" s="571" t="s">
        <v>662</v>
      </c>
    </row>
    <row r="469" spans="1:3" ht="15.75">
      <c r="A469" s="566" t="str">
        <f t="shared" si="15"/>
        <v>Arriendo Anual</v>
      </c>
      <c r="B469" s="594" t="s">
        <v>453</v>
      </c>
      <c r="C469" s="571" t="s">
        <v>663</v>
      </c>
    </row>
    <row r="470" spans="1:3" ht="15.75">
      <c r="A470" s="566" t="str">
        <f t="shared" si="15"/>
        <v>Seguros</v>
      </c>
      <c r="B470" s="594" t="s">
        <v>114</v>
      </c>
      <c r="C470" s="571" t="s">
        <v>664</v>
      </c>
    </row>
    <row r="471" spans="1:3" ht="15.75">
      <c r="A471" s="566" t="str">
        <f t="shared" si="15"/>
        <v>Contador</v>
      </c>
      <c r="B471" s="594" t="s">
        <v>462</v>
      </c>
      <c r="C471" s="571" t="s">
        <v>665</v>
      </c>
    </row>
    <row r="472" spans="1:3" ht="15.75">
      <c r="A472" s="566" t="str">
        <f t="shared" si="15"/>
        <v>Otros (ej. Insumos operacionales)</v>
      </c>
      <c r="B472" s="594" t="s">
        <v>484</v>
      </c>
      <c r="C472" s="571" t="s">
        <v>666</v>
      </c>
    </row>
    <row r="473" spans="1:3" ht="15.75">
      <c r="A473" s="566" t="str">
        <f t="shared" si="15"/>
        <v>Costos de Mantención</v>
      </c>
      <c r="B473" s="594" t="s">
        <v>132</v>
      </c>
      <c r="C473" s="571" t="s">
        <v>547</v>
      </c>
    </row>
    <row r="474" spans="1:3" ht="15.75">
      <c r="A474" s="566" t="str">
        <f t="shared" si="15"/>
        <v>Suma Costos Variables Anuales</v>
      </c>
      <c r="B474" s="594" t="s">
        <v>456</v>
      </c>
      <c r="C474" s="571" t="s">
        <v>667</v>
      </c>
    </row>
    <row r="475" spans="1:3" ht="15.75">
      <c r="A475" s="566" t="str">
        <f t="shared" si="15"/>
        <v>Año</v>
      </c>
      <c r="B475" s="594" t="s">
        <v>103</v>
      </c>
      <c r="C475" s="571" t="s">
        <v>11</v>
      </c>
    </row>
    <row r="476" spans="1:3" ht="15.75">
      <c r="A476" s="566" t="str">
        <f t="shared" si="15"/>
        <v>Periodo</v>
      </c>
      <c r="B476" s="594" t="s">
        <v>129</v>
      </c>
      <c r="C476" s="571" t="s">
        <v>10</v>
      </c>
    </row>
    <row r="477" spans="1:3" ht="15.75">
      <c r="A477" s="566" t="str">
        <f t="shared" si="15"/>
        <v>Producción Electricidad (kWh/a)</v>
      </c>
      <c r="B477" s="594" t="s">
        <v>390</v>
      </c>
      <c r="C477" s="571" t="str">
        <f>C436</f>
        <v>Producción Electricidad (kWh/a)</v>
      </c>
    </row>
    <row r="478" spans="1:3" ht="15.75">
      <c r="A478" s="566" t="str">
        <f t="shared" si="15"/>
        <v>Ingreso/Ahorro Consumo Propio (US$/a)</v>
      </c>
      <c r="B478" s="594" t="s">
        <v>454</v>
      </c>
      <c r="C478" s="571" t="str">
        <f>C437</f>
        <v>Ingreso/Ahorro Consumo Propio (US$/a)</v>
      </c>
    </row>
    <row r="479" spans="1:3" ht="15.75">
      <c r="A479" s="566" t="str">
        <f t="shared" si="15"/>
        <v>Ingreso por Inyección a Red/Venta Electricidad (US$/a)</v>
      </c>
      <c r="B479" s="594" t="s">
        <v>455</v>
      </c>
      <c r="C479" s="571" t="str">
        <f>C438</f>
        <v>Ingreso por Inyección a Red/Venta Electricidad (US$/a)</v>
      </c>
    </row>
    <row r="480" spans="1:3" ht="15.75">
      <c r="A480" s="566" t="str">
        <f t="shared" si="15"/>
        <v>Suma Ingresos Equipo/Planta (US$/a)</v>
      </c>
      <c r="B480" s="594" t="s">
        <v>391</v>
      </c>
      <c r="C480" s="571" t="str">
        <f>C439</f>
        <v>Suma Ingresos Equipo/Planta (US$/a)</v>
      </c>
    </row>
    <row r="481" spans="1:3" ht="15.75">
      <c r="A481" s="566" t="str">
        <f t="shared" si="15"/>
        <v>Costos de Personal</v>
      </c>
      <c r="B481" s="594" t="s">
        <v>130</v>
      </c>
      <c r="C481" s="571" t="s">
        <v>334</v>
      </c>
    </row>
    <row r="482" spans="1:3" ht="15.75">
      <c r="A482" s="566" t="str">
        <f t="shared" si="15"/>
        <v>Costos Administrativos</v>
      </c>
      <c r="B482" s="594" t="s">
        <v>131</v>
      </c>
      <c r="C482" s="571" t="s">
        <v>335</v>
      </c>
    </row>
    <row r="483" spans="1:3" ht="15.75">
      <c r="A483" s="566" t="str">
        <f t="shared" si="15"/>
        <v>Costos Variables (Mantención, insumos)</v>
      </c>
      <c r="B483" s="594" t="s">
        <v>483</v>
      </c>
      <c r="C483" s="571" t="s">
        <v>668</v>
      </c>
    </row>
    <row r="484" spans="1:3" ht="15.75">
      <c r="A484" s="566" t="str">
        <f t="shared" si="15"/>
        <v>Costos Esporádicos (ej. Cambio Inversor)</v>
      </c>
      <c r="B484" s="594" t="s">
        <v>459</v>
      </c>
      <c r="C484" s="571" t="s">
        <v>817</v>
      </c>
    </row>
    <row r="485" spans="1:3" ht="15.75">
      <c r="A485" s="566" t="str">
        <f t="shared" si="15"/>
        <v xml:space="preserve">Arriendo  </v>
      </c>
      <c r="B485" s="594" t="s">
        <v>113</v>
      </c>
      <c r="C485" s="571" t="s">
        <v>549</v>
      </c>
    </row>
    <row r="486" spans="1:3">
      <c r="A486" s="588" t="s">
        <v>497</v>
      </c>
      <c r="B486" s="588"/>
      <c r="C486" s="588" t="s">
        <v>691</v>
      </c>
    </row>
    <row r="487" spans="1:3" ht="15.75">
      <c r="A487" s="566" t="str">
        <f t="shared" ref="A487:A518" si="16">INDEX(B487:C487,1,HLOOKUP($A$1,$B$1:$C$2,2,0))</f>
        <v>Cogeneración</v>
      </c>
      <c r="B487" s="594" t="s">
        <v>498</v>
      </c>
      <c r="C487" s="571" t="s">
        <v>499</v>
      </c>
    </row>
    <row r="488" spans="1:3" ht="15.75">
      <c r="A488" s="566" t="str">
        <f t="shared" si="16"/>
        <v>Datos Base</v>
      </c>
      <c r="B488" s="594" t="s">
        <v>419</v>
      </c>
      <c r="C488" s="571" t="str">
        <f>C449</f>
        <v>Datos Base</v>
      </c>
    </row>
    <row r="489" spans="1:3" ht="15.75">
      <c r="A489" s="566" t="str">
        <f t="shared" si="16"/>
        <v>Unidad</v>
      </c>
      <c r="B489" s="594" t="s">
        <v>451</v>
      </c>
      <c r="C489" s="571" t="str">
        <f t="shared" ref="C489:C494" si="17">C450</f>
        <v>Unidad</v>
      </c>
    </row>
    <row r="490" spans="1:3" ht="15.75">
      <c r="A490" s="566" t="str">
        <f t="shared" si="16"/>
        <v>Valor</v>
      </c>
      <c r="B490" s="594" t="s">
        <v>452</v>
      </c>
      <c r="C490" s="571" t="str">
        <f t="shared" si="17"/>
        <v>Valor</v>
      </c>
    </row>
    <row r="491" spans="1:3" ht="15.75">
      <c r="A491" s="566" t="str">
        <f t="shared" si="16"/>
        <v>Valor Referencial</v>
      </c>
      <c r="B491" s="594" t="s">
        <v>394</v>
      </c>
      <c r="C491" s="571" t="str">
        <f t="shared" si="17"/>
        <v>Valor Referencial</v>
      </c>
    </row>
    <row r="492" spans="1:3" ht="15.75">
      <c r="A492" s="566" t="str">
        <f t="shared" si="16"/>
        <v>Alto</v>
      </c>
      <c r="B492" s="594" t="s">
        <v>494</v>
      </c>
      <c r="C492" s="571" t="str">
        <f t="shared" si="17"/>
        <v>Alto</v>
      </c>
    </row>
    <row r="493" spans="1:3" ht="15.75">
      <c r="A493" s="566" t="str">
        <f t="shared" si="16"/>
        <v>Medio</v>
      </c>
      <c r="B493" s="594" t="s">
        <v>495</v>
      </c>
      <c r="C493" s="571" t="str">
        <f t="shared" si="17"/>
        <v>Medio</v>
      </c>
    </row>
    <row r="494" spans="1:3" ht="15.75">
      <c r="A494" s="566" t="str">
        <f t="shared" si="16"/>
        <v>Bajo</v>
      </c>
      <c r="B494" s="594" t="s">
        <v>239</v>
      </c>
      <c r="C494" s="571" t="str">
        <f t="shared" si="17"/>
        <v>Bajo</v>
      </c>
    </row>
    <row r="495" spans="1:3" ht="15.75">
      <c r="A495" s="566" t="str">
        <f t="shared" si="16"/>
        <v>Capacidad Eléctrica Instalada</v>
      </c>
      <c r="B495" s="594" t="s">
        <v>466</v>
      </c>
      <c r="C495" s="571" t="s">
        <v>670</v>
      </c>
    </row>
    <row r="496" spans="1:3" ht="15.75">
      <c r="A496" s="566" t="str">
        <f t="shared" si="16"/>
        <v>Capacidad Térmica Instalada</v>
      </c>
      <c r="B496" s="594" t="s">
        <v>467</v>
      </c>
      <c r="C496" s="571" t="s">
        <v>671</v>
      </c>
    </row>
    <row r="497" spans="1:3" ht="15.75">
      <c r="A497" s="566" t="str">
        <f t="shared" si="16"/>
        <v xml:space="preserve">Costos de Inversión  </v>
      </c>
      <c r="B497" s="594" t="s">
        <v>150</v>
      </c>
      <c r="C497" s="571" t="s">
        <v>672</v>
      </c>
    </row>
    <row r="498" spans="1:3" ht="15.75">
      <c r="A498" s="566" t="str">
        <f t="shared" si="16"/>
        <v>Horas Funcionamiento (Factor Capacidad x 8.760h)</v>
      </c>
      <c r="B498" s="594" t="s">
        <v>408</v>
      </c>
      <c r="C498" s="571" t="str">
        <f>C460</f>
        <v>Horas Funcionamiento (Factor Capacidad x 8.760h)</v>
      </c>
    </row>
    <row r="499" spans="1:3" ht="15.75">
      <c r="A499" s="566" t="str">
        <f t="shared" si="16"/>
        <v>Degradación Anual de Producción</v>
      </c>
      <c r="B499" s="594" t="s">
        <v>472</v>
      </c>
      <c r="C499" s="571" t="s">
        <v>669</v>
      </c>
    </row>
    <row r="500" spans="1:3" ht="15.75">
      <c r="A500" s="566" t="str">
        <f t="shared" si="16"/>
        <v>Vida Útil</v>
      </c>
      <c r="B500" s="594" t="s">
        <v>440</v>
      </c>
      <c r="C500" s="571" t="s">
        <v>658</v>
      </c>
    </row>
    <row r="501" spans="1:3" ht="15.75">
      <c r="A501" s="566" t="str">
        <f t="shared" si="16"/>
        <v>Producción Electricidad</v>
      </c>
      <c r="B501" s="594" t="s">
        <v>405</v>
      </c>
      <c r="C501" s="571" t="s">
        <v>673</v>
      </c>
    </row>
    <row r="502" spans="1:3" ht="15.75">
      <c r="A502" s="566" t="str">
        <f t="shared" si="16"/>
        <v>Producción Energía Térmica KWK</v>
      </c>
      <c r="B502" s="594" t="s">
        <v>404</v>
      </c>
      <c r="C502" s="571" t="s">
        <v>698</v>
      </c>
    </row>
    <row r="503" spans="1:3" ht="15.75">
      <c r="A503" s="566" t="str">
        <f t="shared" si="16"/>
        <v>Necesidad Anual de Gas KWK</v>
      </c>
      <c r="B503" s="594" t="s">
        <v>443</v>
      </c>
      <c r="C503" s="571" t="s">
        <v>697</v>
      </c>
    </row>
    <row r="504" spans="1:3" ht="15.75">
      <c r="A504" s="566" t="str">
        <f t="shared" si="16"/>
        <v>Eficiencia Total</v>
      </c>
      <c r="B504" s="594" t="s">
        <v>406</v>
      </c>
      <c r="C504" s="571" t="s">
        <v>674</v>
      </c>
    </row>
    <row r="505" spans="1:3" ht="15.75">
      <c r="A505" s="566" t="str">
        <f t="shared" si="16"/>
        <v>Eficiencia Eléctrica</v>
      </c>
      <c r="B505" s="594" t="s">
        <v>468</v>
      </c>
      <c r="C505" s="571" t="s">
        <v>675</v>
      </c>
    </row>
    <row r="506" spans="1:3" ht="15.75">
      <c r="A506" s="566" t="str">
        <f t="shared" si="16"/>
        <v>Eficiencia Térmica</v>
      </c>
      <c r="B506" s="594" t="s">
        <v>469</v>
      </c>
      <c r="C506" s="571" t="s">
        <v>676</v>
      </c>
    </row>
    <row r="507" spans="1:3" ht="15.75">
      <c r="A507" s="566" t="str">
        <f t="shared" si="16"/>
        <v>Eficiencia Estufa Convencional</v>
      </c>
      <c r="B507" s="594" t="s">
        <v>470</v>
      </c>
      <c r="C507" s="571" t="s">
        <v>677</v>
      </c>
    </row>
    <row r="508" spans="1:3" ht="15.75">
      <c r="A508" s="566" t="str">
        <f t="shared" si="16"/>
        <v xml:space="preserve"> Disminución Energía Uso Calderas</v>
      </c>
      <c r="B508" s="594" t="s">
        <v>403</v>
      </c>
      <c r="C508" s="571" t="s">
        <v>699</v>
      </c>
    </row>
    <row r="509" spans="1:3" ht="15.75">
      <c r="A509" s="566" t="str">
        <f t="shared" si="16"/>
        <v>Aumento Uso KWK</v>
      </c>
      <c r="B509" s="594" t="s">
        <v>402</v>
      </c>
      <c r="C509" s="571" t="s">
        <v>700</v>
      </c>
    </row>
    <row r="510" spans="1:3" ht="15.75">
      <c r="A510" s="566" t="str">
        <f t="shared" si="16"/>
        <v>Precio Compra Electricidad</v>
      </c>
      <c r="B510" s="594" t="s">
        <v>401</v>
      </c>
      <c r="C510" s="571" t="s">
        <v>678</v>
      </c>
    </row>
    <row r="511" spans="1:3" ht="15.75">
      <c r="A511" s="566" t="str">
        <f t="shared" si="16"/>
        <v>Precio Compra Gas Natural</v>
      </c>
      <c r="B511" s="594" t="s">
        <v>444</v>
      </c>
      <c r="C511" s="571" t="s">
        <v>679</v>
      </c>
    </row>
    <row r="512" spans="1:3" ht="15.75">
      <c r="A512" s="566" t="str">
        <f t="shared" si="16"/>
        <v>Precio Venta Electricidad</v>
      </c>
      <c r="B512" s="594" t="s">
        <v>448</v>
      </c>
      <c r="C512" s="571" t="s">
        <v>680</v>
      </c>
    </row>
    <row r="513" spans="1:3" ht="15.75">
      <c r="A513" s="566" t="str">
        <f t="shared" si="16"/>
        <v>Incremento Anual Precio Venta %</v>
      </c>
      <c r="B513" s="594" t="s">
        <v>471</v>
      </c>
      <c r="C513" s="571" t="s">
        <v>661</v>
      </c>
    </row>
    <row r="514" spans="1:3" ht="15.75">
      <c r="A514" s="566" t="str">
        <f t="shared" si="16"/>
        <v>Incremento Anual Precio Compra Combustibles</v>
      </c>
      <c r="B514" s="594" t="s">
        <v>473</v>
      </c>
      <c r="C514" s="571" t="s">
        <v>681</v>
      </c>
    </row>
    <row r="515" spans="1:3" ht="15.75">
      <c r="A515" s="566" t="str">
        <f t="shared" si="16"/>
        <v>Tasa de Inflación (Incremento Costos Mantención)</v>
      </c>
      <c r="B515" s="594" t="s">
        <v>436</v>
      </c>
      <c r="C515" s="571" t="s">
        <v>662</v>
      </c>
    </row>
    <row r="516" spans="1:3" ht="15.75">
      <c r="A516" s="566" t="str">
        <f t="shared" si="16"/>
        <v>% Uso Propio</v>
      </c>
      <c r="B516" s="594" t="s">
        <v>409</v>
      </c>
      <c r="C516" s="571" t="s">
        <v>683</v>
      </c>
    </row>
    <row r="517" spans="1:3" ht="15.75">
      <c r="A517" s="566" t="str">
        <f t="shared" si="16"/>
        <v>Arriendo Anual</v>
      </c>
      <c r="B517" s="594" t="s">
        <v>453</v>
      </c>
      <c r="C517" s="571" t="s">
        <v>663</v>
      </c>
    </row>
    <row r="518" spans="1:3" ht="15.75">
      <c r="A518" s="566" t="str">
        <f t="shared" si="16"/>
        <v>Seguros</v>
      </c>
      <c r="B518" s="594" t="s">
        <v>114</v>
      </c>
      <c r="C518" s="571" t="s">
        <v>664</v>
      </c>
    </row>
    <row r="519" spans="1:3" ht="15.75">
      <c r="A519" s="566" t="str">
        <f t="shared" ref="A519:A537" si="18">INDEX(B519:C519,1,HLOOKUP($A$1,$B$1:$C$2,2,0))</f>
        <v>Contador</v>
      </c>
      <c r="B519" s="594" t="s">
        <v>462</v>
      </c>
      <c r="C519" s="571" t="s">
        <v>665</v>
      </c>
    </row>
    <row r="520" spans="1:3" ht="15.75">
      <c r="A520" s="566" t="str">
        <f t="shared" si="18"/>
        <v>Otros (ej. Insumos operacionales)</v>
      </c>
      <c r="B520" s="594" t="s">
        <v>475</v>
      </c>
      <c r="C520" s="571" t="s">
        <v>666</v>
      </c>
    </row>
    <row r="521" spans="1:3" ht="15.75">
      <c r="A521" s="566" t="str">
        <f t="shared" si="18"/>
        <v>Costos Mantención</v>
      </c>
      <c r="B521" s="594" t="s">
        <v>132</v>
      </c>
      <c r="C521" s="571" t="s">
        <v>684</v>
      </c>
    </row>
    <row r="522" spans="1:3" ht="15.75">
      <c r="A522" s="566" t="str">
        <f t="shared" si="18"/>
        <v>Aumento Costos Gas</v>
      </c>
      <c r="B522" s="594" t="s">
        <v>445</v>
      </c>
      <c r="C522" s="571" t="s">
        <v>701</v>
      </c>
    </row>
    <row r="523" spans="1:3" ht="15.75">
      <c r="A523" s="566" t="str">
        <f t="shared" si="18"/>
        <v>Disminución Uso Electricidad</v>
      </c>
      <c r="B523" s="594" t="s">
        <v>400</v>
      </c>
      <c r="C523" s="571" t="s">
        <v>702</v>
      </c>
    </row>
    <row r="524" spans="1:3" ht="15.75">
      <c r="A524" s="566" t="str">
        <f t="shared" si="18"/>
        <v>Diferencia Costos-Ingresos</v>
      </c>
      <c r="B524" s="594" t="s">
        <v>399</v>
      </c>
      <c r="C524" s="571" t="s">
        <v>685</v>
      </c>
    </row>
    <row r="525" spans="1:3" ht="15.75">
      <c r="A525" s="566" t="str">
        <f t="shared" si="18"/>
        <v>Año</v>
      </c>
      <c r="B525" s="594" t="s">
        <v>103</v>
      </c>
      <c r="C525" s="571" t="s">
        <v>11</v>
      </c>
    </row>
    <row r="526" spans="1:3" ht="15.75">
      <c r="A526" s="566" t="str">
        <f t="shared" si="18"/>
        <v>Periodo</v>
      </c>
      <c r="B526" s="594" t="s">
        <v>129</v>
      </c>
      <c r="C526" s="571" t="s">
        <v>10</v>
      </c>
    </row>
    <row r="527" spans="1:3" ht="15.75">
      <c r="A527" s="566" t="str">
        <f t="shared" si="18"/>
        <v>Disminución Uso Electricidad kWh</v>
      </c>
      <c r="B527" s="594" t="s">
        <v>464</v>
      </c>
      <c r="C527" s="571" t="s">
        <v>703</v>
      </c>
    </row>
    <row r="528" spans="1:3" ht="15.75">
      <c r="A528" s="566" t="str">
        <f t="shared" si="18"/>
        <v>Inyección a la Red kWh</v>
      </c>
      <c r="B528" s="594" t="s">
        <v>465</v>
      </c>
      <c r="C528" s="571" t="s">
        <v>695</v>
      </c>
    </row>
    <row r="529" spans="1:3" ht="15.75">
      <c r="A529" s="566" t="str">
        <f t="shared" si="18"/>
        <v xml:space="preserve">Ingreso/Ahorro  </v>
      </c>
      <c r="B529" s="594" t="s">
        <v>478</v>
      </c>
      <c r="C529" s="571" t="s">
        <v>696</v>
      </c>
    </row>
    <row r="530" spans="1:3" ht="15.75">
      <c r="A530" s="566" t="str">
        <f t="shared" si="18"/>
        <v>Ingreso por Inyección a Red/Venta Electricidad (US$/a)</v>
      </c>
      <c r="B530" s="594" t="s">
        <v>479</v>
      </c>
      <c r="C530" s="571" t="str">
        <f>C479</f>
        <v>Ingreso por Inyección a Red/Venta Electricidad (US$/a)</v>
      </c>
    </row>
    <row r="531" spans="1:3" ht="15.75">
      <c r="A531" s="566" t="str">
        <f t="shared" si="18"/>
        <v>Suma Ingreso Equipos/Planta</v>
      </c>
      <c r="B531" s="594" t="s">
        <v>480</v>
      </c>
      <c r="C531" s="571" t="s">
        <v>730</v>
      </c>
    </row>
    <row r="532" spans="1:3" ht="15.75">
      <c r="A532" s="566" t="str">
        <f t="shared" si="18"/>
        <v>Costos Personal</v>
      </c>
      <c r="B532" s="594" t="s">
        <v>130</v>
      </c>
      <c r="C532" s="571" t="s">
        <v>687</v>
      </c>
    </row>
    <row r="533" spans="1:3" ht="15.75">
      <c r="A533" s="566" t="str">
        <f t="shared" si="18"/>
        <v>Costos Administrativos</v>
      </c>
      <c r="B533" s="594" t="s">
        <v>131</v>
      </c>
      <c r="C533" s="571" t="s">
        <v>335</v>
      </c>
    </row>
    <row r="534" spans="1:3" ht="15.75">
      <c r="A534" s="566" t="str">
        <f t="shared" si="18"/>
        <v>Aumento Costo Combustibles</v>
      </c>
      <c r="B534" s="594" t="s">
        <v>481</v>
      </c>
      <c r="C534" s="571" t="s">
        <v>704</v>
      </c>
    </row>
    <row r="535" spans="1:3" ht="15.75">
      <c r="A535" s="566" t="str">
        <f t="shared" si="18"/>
        <v>Costos Variables (Mantención, insumos)</v>
      </c>
      <c r="B535" s="594" t="s">
        <v>476</v>
      </c>
      <c r="C535" s="571" t="s">
        <v>668</v>
      </c>
    </row>
    <row r="536" spans="1:3" ht="15.75">
      <c r="A536" s="566" t="str">
        <f t="shared" si="18"/>
        <v>Costos Esporádicos (ej. Cambio Componente)</v>
      </c>
      <c r="B536" s="594" t="s">
        <v>474</v>
      </c>
      <c r="C536" s="571" t="s">
        <v>686</v>
      </c>
    </row>
    <row r="537" spans="1:3" ht="15.75">
      <c r="A537" s="566" t="str">
        <f t="shared" si="18"/>
        <v>Arriendo</v>
      </c>
      <c r="B537" s="594" t="s">
        <v>113</v>
      </c>
      <c r="C537" s="571" t="s">
        <v>500</v>
      </c>
    </row>
    <row r="538" spans="1:3" ht="15.75">
      <c r="A538" s="566"/>
      <c r="B538" s="594"/>
      <c r="C538" s="571"/>
    </row>
    <row r="539" spans="1:3">
      <c r="A539" s="588" t="s">
        <v>707</v>
      </c>
      <c r="B539" s="588"/>
      <c r="C539" s="588" t="s">
        <v>346</v>
      </c>
    </row>
    <row r="540" spans="1:3" ht="15.75">
      <c r="A540" s="566" t="str">
        <f t="shared" ref="A540:A560" si="19">INDEX(B540:C540,1,HLOOKUP($A$1,$B$1:$C$2,2,0))</f>
        <v>Capacidad Instalada [kW]</v>
      </c>
      <c r="B540" s="258" t="s">
        <v>777</v>
      </c>
      <c r="C540" s="571" t="s">
        <v>776</v>
      </c>
    </row>
    <row r="541" spans="1:3" ht="15.75">
      <c r="A541" s="566" t="str">
        <f t="shared" si="19"/>
        <v>Costos de Inversión [USD]</v>
      </c>
      <c r="B541" s="258" t="s">
        <v>778</v>
      </c>
      <c r="C541" s="571" t="s">
        <v>779</v>
      </c>
    </row>
    <row r="542" spans="1:3" ht="15.75">
      <c r="A542" s="566" t="str">
        <f t="shared" si="19"/>
        <v>Factor de Capacidad [%]</v>
      </c>
      <c r="B542" s="258" t="s">
        <v>801</v>
      </c>
      <c r="C542" s="571" t="s">
        <v>800</v>
      </c>
    </row>
    <row r="543" spans="1:3" ht="15.75">
      <c r="A543" s="566" t="str">
        <f t="shared" si="19"/>
        <v>Ingreso Anual [kWh/a]</v>
      </c>
      <c r="B543" s="258" t="s">
        <v>802</v>
      </c>
      <c r="C543" s="571" t="s">
        <v>826</v>
      </c>
    </row>
    <row r="544" spans="1:3" ht="15.75">
      <c r="A544" s="566" t="str">
        <f t="shared" si="19"/>
        <v>Duración del Proyecto [a]</v>
      </c>
      <c r="B544" s="258" t="s">
        <v>780</v>
      </c>
      <c r="C544" s="571" t="s">
        <v>781</v>
      </c>
    </row>
    <row r="545" spans="1:3" ht="15.75">
      <c r="A545" s="566" t="str">
        <f t="shared" si="19"/>
        <v>Disminución Costos Compra de Energía [USD/kWh]</v>
      </c>
      <c r="B545" s="258" t="s">
        <v>803</v>
      </c>
      <c r="C545" s="571" t="s">
        <v>804</v>
      </c>
    </row>
    <row r="546" spans="1:3" ht="15.75">
      <c r="A546" s="566" t="str">
        <f t="shared" si="19"/>
        <v>Precio Inyección a Red [USD/kWh]</v>
      </c>
      <c r="B546" s="258" t="s">
        <v>782</v>
      </c>
      <c r="C546" s="571" t="s">
        <v>783</v>
      </c>
    </row>
    <row r="547" spans="1:3" ht="15.75">
      <c r="A547" s="566" t="str">
        <f t="shared" si="19"/>
        <v>% Uso Propio</v>
      </c>
      <c r="B547" s="258" t="s">
        <v>784</v>
      </c>
      <c r="C547" s="571" t="s">
        <v>683</v>
      </c>
    </row>
    <row r="548" spans="1:3" ht="15.75">
      <c r="A548" s="566" t="str">
        <f t="shared" si="19"/>
        <v>Degradación Anual de Producción [%/a]</v>
      </c>
      <c r="B548" s="258" t="s">
        <v>785</v>
      </c>
      <c r="C548" s="571" t="s">
        <v>786</v>
      </c>
    </row>
    <row r="549" spans="1:3" ht="15.75">
      <c r="A549" s="566" t="str">
        <f t="shared" si="19"/>
        <v>Tasa de Descuento [%]</v>
      </c>
      <c r="B549" s="258" t="s">
        <v>787</v>
      </c>
      <c r="C549" s="571" t="s">
        <v>788</v>
      </c>
    </row>
    <row r="550" spans="1:3" ht="15.75">
      <c r="A550" s="566" t="str">
        <f t="shared" si="19"/>
        <v>Impuesto a la Utilidad [%]</v>
      </c>
      <c r="B550" s="258" t="s">
        <v>789</v>
      </c>
      <c r="C550" s="571" t="s">
        <v>790</v>
      </c>
    </row>
    <row r="551" spans="1:3" ht="15.75">
      <c r="A551" s="566" t="str">
        <f t="shared" si="19"/>
        <v>Costos Operacionales [USD/a]</v>
      </c>
      <c r="B551" s="258" t="s">
        <v>791</v>
      </c>
      <c r="C551" s="571" t="s">
        <v>792</v>
      </c>
    </row>
    <row r="552" spans="1:3" ht="15.75">
      <c r="A552" s="566" t="str">
        <f t="shared" si="19"/>
        <v>% Financiamiento con Crédito</v>
      </c>
      <c r="B552" s="258" t="s">
        <v>793</v>
      </c>
      <c r="C552" s="571" t="s">
        <v>708</v>
      </c>
    </row>
    <row r="553" spans="1:3" ht="15.75">
      <c r="A553" s="566" t="str">
        <f t="shared" si="19"/>
        <v>Plazo Crédito [a]</v>
      </c>
      <c r="B553" s="258" t="s">
        <v>794</v>
      </c>
      <c r="C553" s="571" t="s">
        <v>795</v>
      </c>
    </row>
    <row r="554" spans="1:3" ht="15.75">
      <c r="A554" s="566" t="str">
        <f t="shared" si="19"/>
        <v>Tasa Interés Crédito [%]</v>
      </c>
      <c r="B554" s="258" t="s">
        <v>796</v>
      </c>
      <c r="C554" s="571" t="s">
        <v>797</v>
      </c>
    </row>
    <row r="555" spans="1:3" ht="15.75">
      <c r="A555" s="566" t="str">
        <f t="shared" si="19"/>
        <v>Depreciación Establecida [a]</v>
      </c>
      <c r="B555" s="258" t="s">
        <v>798</v>
      </c>
      <c r="C555" s="571" t="s">
        <v>799</v>
      </c>
    </row>
    <row r="556" spans="1:3" ht="15.75">
      <c r="A556" s="566" t="str">
        <f t="shared" si="19"/>
        <v>Proyecto:</v>
      </c>
      <c r="B556" s="258" t="s">
        <v>422</v>
      </c>
      <c r="C556" s="571" t="s">
        <v>740</v>
      </c>
    </row>
    <row r="557" spans="1:3" ht="15.75">
      <c r="A557" s="566" t="str">
        <f t="shared" si="19"/>
        <v>Resultados</v>
      </c>
      <c r="B557" s="258" t="s">
        <v>225</v>
      </c>
      <c r="C557" s="571" t="s">
        <v>346</v>
      </c>
    </row>
    <row r="558" spans="1:3" ht="15.75">
      <c r="A558" s="566" t="str">
        <f t="shared" si="19"/>
        <v>Valor Inicial</v>
      </c>
      <c r="B558" s="258" t="s">
        <v>230</v>
      </c>
      <c r="C558" s="571" t="s">
        <v>764</v>
      </c>
    </row>
    <row r="559" spans="1:3" ht="15.75">
      <c r="A559" s="566" t="str">
        <f t="shared" si="19"/>
        <v>Escenario Sensibilidad</v>
      </c>
      <c r="B559" s="258" t="s">
        <v>421</v>
      </c>
      <c r="C559" s="571" t="s">
        <v>833</v>
      </c>
    </row>
    <row r="560" spans="1:3" ht="15.75">
      <c r="A560" s="566" t="str">
        <f t="shared" si="19"/>
        <v>Datos Base</v>
      </c>
      <c r="B560" s="258" t="s">
        <v>419</v>
      </c>
      <c r="C560" s="571" t="s">
        <v>763</v>
      </c>
    </row>
    <row r="561" spans="1:3" ht="15.75">
      <c r="A561" s="566"/>
      <c r="B561" s="258"/>
      <c r="C561" s="571"/>
    </row>
    <row r="562" spans="1:3"/>
    <row r="563" spans="1:3"/>
  </sheetData>
  <phoneticPr fontId="21" type="noConversion"/>
  <dataValidations count="2">
    <dataValidation type="list" allowBlank="1" showInputMessage="1" showErrorMessage="1" sqref="B383">
      <formula1>$AD$1:$AE$1</formula1>
    </dataValidation>
    <dataValidation type="list" allowBlank="1" showInputMessage="1" showErrorMessage="1" sqref="A1">
      <formula1>$B$1:$C$1</formula1>
    </dataValidation>
  </dataValidation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FF0000"/>
    <pageSetUpPr fitToPage="1"/>
  </sheetPr>
  <dimension ref="A1:L103"/>
  <sheetViews>
    <sheetView showGridLines="0" tabSelected="1" zoomScale="85" zoomScaleNormal="85" workbookViewId="0">
      <selection activeCell="B36" sqref="B36"/>
    </sheetView>
  </sheetViews>
  <sheetFormatPr baseColWidth="10" defaultColWidth="0" defaultRowHeight="15.75" zeroHeight="1"/>
  <cols>
    <col min="1" max="1" width="48.875" customWidth="1"/>
    <col min="2" max="2" width="24.75" customWidth="1"/>
    <col min="3" max="3" width="3.375" customWidth="1"/>
    <col min="4" max="4" width="14.75" customWidth="1"/>
    <col min="5" max="5" width="4.375" customWidth="1"/>
    <col min="6" max="8" width="11" customWidth="1"/>
    <col min="9" max="9" width="15.875" customWidth="1"/>
    <col min="10" max="10" width="46.5" customWidth="1"/>
    <col min="11" max="11" width="45.625" customWidth="1"/>
    <col min="12" max="12" width="11" customWidth="1"/>
  </cols>
  <sheetData>
    <row r="1" spans="1:12" ht="23.25">
      <c r="A1" s="310" t="str">
        <f>languages!A3</f>
        <v>Input y Resumen de Resultados</v>
      </c>
    </row>
    <row r="2" spans="1:12" ht="27" customHeight="1">
      <c r="A2" s="460" t="str">
        <f>languages!A4</f>
        <v>Input Info General y de Mercado</v>
      </c>
      <c r="B2" s="242"/>
      <c r="C2" s="242"/>
      <c r="D2" s="242"/>
      <c r="E2" s="242"/>
      <c r="F2" s="852" t="str">
        <f>languages!A62</f>
        <v>Resultados</v>
      </c>
      <c r="G2" s="852"/>
      <c r="H2" s="852"/>
      <c r="I2" s="852"/>
      <c r="J2" s="853" t="str">
        <f>languages!A63</f>
        <v>Valor Inicial</v>
      </c>
      <c r="K2" s="853" t="str">
        <f>languages!A64</f>
        <v>Variante de Sensibilidad</v>
      </c>
    </row>
    <row r="3" spans="1:12" ht="37.5" customHeight="1">
      <c r="A3" s="259"/>
      <c r="B3" s="274" t="str">
        <f>languages!A54</f>
        <v>Valor Inicial</v>
      </c>
      <c r="C3" s="259"/>
      <c r="D3" s="506" t="str">
        <f>languages!A55</f>
        <v>Variante (sensibilidad)</v>
      </c>
      <c r="F3" s="448"/>
      <c r="G3" s="448"/>
      <c r="H3" s="448"/>
      <c r="I3" s="448"/>
      <c r="J3" s="854"/>
      <c r="K3" s="854"/>
    </row>
    <row r="4" spans="1:12" ht="18.75">
      <c r="A4" s="855" t="str">
        <f>languages!A6</f>
        <v>Inversión</v>
      </c>
      <c r="B4" s="856"/>
      <c r="C4" s="287"/>
      <c r="D4" s="435"/>
      <c r="F4" s="834" t="str">
        <f>languages!A57</f>
        <v>Periodo Amortización Simple</v>
      </c>
      <c r="G4" s="835"/>
      <c r="H4" s="835"/>
      <c r="I4" s="836"/>
      <c r="J4" s="311" t="str">
        <f>'Calc A'!B103</f>
        <v>21 Años &amp; 2 Mes(es)</v>
      </c>
      <c r="K4" s="311" t="str">
        <f>'Calc Sensitivity'!B103</f>
        <v>21 Años &amp; 2 Mes(es)</v>
      </c>
    </row>
    <row r="5" spans="1:12" ht="18.75">
      <c r="A5" s="435" t="str">
        <f>languages!A7</f>
        <v>Costos Inversión Inicial</v>
      </c>
      <c r="B5" s="435">
        <f>IF($B$12="PV",-PV!C4*PV!C6,IF($B$12="Wind",-Wind!$C$6,IF($B$12="Cogeneration",-Cogen!C7,-Efficiency!B40)))</f>
        <v>-61000</v>
      </c>
      <c r="C5" s="288"/>
      <c r="D5" s="435">
        <f>'Calc Sensitivity'!B17</f>
        <v>-61000</v>
      </c>
      <c r="F5" s="834" t="str">
        <f>languages!A58</f>
        <v>Periodo Amortización con Valores Descontados</v>
      </c>
      <c r="G5" s="835"/>
      <c r="H5" s="835"/>
      <c r="I5" s="836"/>
      <c r="J5" s="312" t="str">
        <f>'Calc A'!B104</f>
        <v>NO Rentable Económicamente Años &amp; 0 Mes(es)</v>
      </c>
      <c r="K5" s="311" t="str">
        <f>'Calc Sensitivity'!B104</f>
        <v>NO Rentable Económicamente Años &amp; 0 Mes(es)</v>
      </c>
    </row>
    <row r="6" spans="1:12" ht="18.75">
      <c r="A6" s="435" t="str">
        <f>languages!A8</f>
        <v>Costos Desarrollo Proyecto</v>
      </c>
      <c r="B6" s="434"/>
      <c r="C6" s="288"/>
      <c r="D6" s="843"/>
      <c r="F6" s="834" t="str">
        <f>languages!A59</f>
        <v>TIR -Tasa Interna de Retorno</v>
      </c>
      <c r="G6" s="835"/>
      <c r="H6" s="835"/>
      <c r="I6" s="836"/>
      <c r="J6" s="313">
        <f>'Calc A'!B105</f>
        <v>5.0826777789444222E-2</v>
      </c>
      <c r="K6" s="545">
        <f>'Calc Sensitivity'!B105</f>
        <v>5.0826777789444222E-2</v>
      </c>
    </row>
    <row r="7" spans="1:12" ht="18.75">
      <c r="A7" s="435" t="str">
        <f>languages!A9</f>
        <v>Subsidios al Inicio del Proyecto</v>
      </c>
      <c r="B7" s="434"/>
      <c r="C7" s="288"/>
      <c r="D7" s="844"/>
      <c r="F7" s="834" t="str">
        <f>languages!A60</f>
        <v>VPN -Valor Presente Neto</v>
      </c>
      <c r="G7" s="835"/>
      <c r="H7" s="835"/>
      <c r="I7" s="836"/>
      <c r="J7" s="314">
        <f>'Calc A'!B106</f>
        <v>-20821.74384951064</v>
      </c>
      <c r="K7" s="315">
        <f>'Calc Sensitivity'!B106</f>
        <v>-20821.74384951064</v>
      </c>
    </row>
    <row r="8" spans="1:12" ht="18.75">
      <c r="A8" s="435" t="str">
        <f>languages!A10</f>
        <v>Liquidez al Inicio del Proyecto</v>
      </c>
      <c r="B8" s="434">
        <v>0</v>
      </c>
      <c r="C8" s="288"/>
      <c r="D8" s="844"/>
      <c r="F8" s="834" t="str">
        <f>languages!A61</f>
        <v>Liquidez Mínima</v>
      </c>
      <c r="G8" s="835"/>
      <c r="H8" s="835"/>
      <c r="I8" s="836"/>
      <c r="J8" s="315">
        <f>MIN('Calc A'!C86:V86)</f>
        <v>-3600.0206059094708</v>
      </c>
      <c r="K8" s="315">
        <f>MIN('Calc Sensitivity'!C86:V86)</f>
        <v>-3600.0206059094708</v>
      </c>
    </row>
    <row r="9" spans="1:12">
      <c r="A9" s="435" t="str">
        <f>languages!A11</f>
        <v>Costos Total</v>
      </c>
      <c r="B9" s="436">
        <f>SUM(B5:B8)</f>
        <v>-61000</v>
      </c>
      <c r="C9" s="288"/>
      <c r="D9" s="844"/>
    </row>
    <row r="10" spans="1:12">
      <c r="A10" s="435" t="str">
        <f>languages!A12</f>
        <v>Valor Residual</v>
      </c>
      <c r="B10" s="434">
        <v>0</v>
      </c>
      <c r="C10" s="288"/>
      <c r="D10" s="845"/>
      <c r="J10" s="216"/>
      <c r="K10" s="216"/>
    </row>
    <row r="11" spans="1:12" ht="18.75">
      <c r="A11" s="284"/>
      <c r="B11" s="285"/>
      <c r="C11" s="286"/>
      <c r="D11" s="291"/>
      <c r="F11" s="290" t="str">
        <f>languages!A65</f>
        <v>Resumen de Resultados</v>
      </c>
    </row>
    <row r="12" spans="1:12">
      <c r="A12" s="276" t="str">
        <f>languages!A15</f>
        <v>Tecnología</v>
      </c>
      <c r="B12" s="507" t="s">
        <v>397</v>
      </c>
      <c r="C12" s="288"/>
      <c r="D12" s="276"/>
    </row>
    <row r="13" spans="1:12">
      <c r="A13" s="234" t="str">
        <f>languages!A16</f>
        <v>Ingresos Venta Energía/Ahorro Energía</v>
      </c>
      <c r="B13" s="275">
        <f>IF($B$12="PV",PV!$C$31,IF($B$12="Wind",Wind!$C$34,IF($B$12="Cogeneration",Cogen!C46,Efficiency!C55)))</f>
        <v>4905.6000000000004</v>
      </c>
      <c r="C13" s="288"/>
      <c r="D13" s="309">
        <f>'Calc Sensitivity'!B25</f>
        <v>4905.6000000000004</v>
      </c>
      <c r="L13" t="s">
        <v>446</v>
      </c>
    </row>
    <row r="14" spans="1:12">
      <c r="A14" s="234" t="str">
        <f>languages!A17</f>
        <v>Otros Ingresos [a]</v>
      </c>
      <c r="B14" s="434"/>
      <c r="C14" s="288"/>
      <c r="D14" s="276"/>
    </row>
    <row r="15" spans="1:12">
      <c r="A15" s="284"/>
      <c r="B15" s="285"/>
      <c r="C15" s="286"/>
      <c r="D15" s="291"/>
    </row>
    <row r="16" spans="1:12">
      <c r="A16" s="857" t="str">
        <f>languages!A19</f>
        <v>Costos de Operación y Mantenimiento</v>
      </c>
      <c r="B16" s="838"/>
      <c r="C16" s="288"/>
      <c r="D16" s="277"/>
    </row>
    <row r="17" spans="1:4">
      <c r="A17" s="277" t="str">
        <f>languages!A20</f>
        <v>Costos RRHH</v>
      </c>
      <c r="B17" s="431">
        <f>-IF($B$12="PV",PV!C33,IF($B$12="Wind",Wind!C36,IF($B$12="Cogeneration",Cogen!C48,Efficiency!C57)))</f>
        <v>0</v>
      </c>
      <c r="C17" s="288"/>
      <c r="D17" s="277">
        <f>'Calc Sensitivity'!B43</f>
        <v>0</v>
      </c>
    </row>
    <row r="18" spans="1:4">
      <c r="A18" s="277" t="str">
        <f>languages!A21</f>
        <v>Costos Administrativos</v>
      </c>
      <c r="B18" s="431">
        <f>-IF($B$12="PV",PV!C34,IF($B$12="Wind",Wind!C37,IF($B$12="Cogeneration",Cogen!C49,Efficiency!C58)))</f>
        <v>0</v>
      </c>
      <c r="C18" s="288"/>
      <c r="D18" s="277"/>
    </row>
    <row r="19" spans="1:4">
      <c r="A19" s="277" t="str">
        <f>languages!A23</f>
        <v>Costos Combustible</v>
      </c>
      <c r="B19" s="431">
        <f>-IF($B$12="PV",0,IF($B$12="Wind",0,IF($B$12="Cogeneration",Cogen!C35,0)))</f>
        <v>0</v>
      </c>
      <c r="C19" s="288"/>
      <c r="D19" s="278">
        <f>'Calc Sensitivity'!B45</f>
        <v>0</v>
      </c>
    </row>
    <row r="20" spans="1:4">
      <c r="A20" s="277" t="str">
        <f>languages!A22</f>
        <v>Costos Mantención</v>
      </c>
      <c r="B20" s="431">
        <f>-IF($B$12="PV",PV!C35,IF($B$12="Wind",Wind!C38,IF($B$12="Cogeneration",Cogen!C51,Efficiency!C62)))</f>
        <v>-1220</v>
      </c>
      <c r="C20" s="288"/>
      <c r="D20" s="846"/>
    </row>
    <row r="21" spans="1:4">
      <c r="A21" s="277" t="str">
        <f>languages!A25</f>
        <v>Arriendo</v>
      </c>
      <c r="B21" s="431">
        <f>-IF($B$12="PV",PV!C37,IF($B$12="Wind",Wind!C40,IF($B$12="Cogeneration",Cogen!C53,0)))</f>
        <v>0</v>
      </c>
      <c r="C21" s="288"/>
      <c r="D21" s="847"/>
    </row>
    <row r="22" spans="1:4">
      <c r="A22" s="277" t="str">
        <f>languages!A26</f>
        <v>Provisiones para Desmantelamiento (% de la Inversion)</v>
      </c>
      <c r="B22" s="437"/>
      <c r="C22" s="288"/>
      <c r="D22" s="848"/>
    </row>
    <row r="23" spans="1:4">
      <c r="A23" s="284"/>
      <c r="B23" s="285"/>
      <c r="C23" s="286"/>
      <c r="D23" s="291"/>
    </row>
    <row r="24" spans="1:4">
      <c r="A24" s="858" t="str">
        <f>languages!A28</f>
        <v>Financiamiento</v>
      </c>
      <c r="B24" s="838"/>
      <c r="C24" s="288"/>
      <c r="D24" s="279"/>
    </row>
    <row r="25" spans="1:4">
      <c r="A25" s="279" t="str">
        <f>languages!A29</f>
        <v>Tasa de Endeudamiento</v>
      </c>
      <c r="B25" s="438">
        <v>0.8</v>
      </c>
      <c r="C25" s="288"/>
      <c r="D25" s="307">
        <f>'Calc Sensitivity'!B28</f>
        <v>0.8</v>
      </c>
    </row>
    <row r="26" spans="1:4">
      <c r="A26" s="279" t="str">
        <f>languages!A30</f>
        <v>Capital Externo</v>
      </c>
      <c r="B26" s="432">
        <f>B25*B9</f>
        <v>-48800</v>
      </c>
      <c r="C26" s="288"/>
      <c r="D26" s="840"/>
    </row>
    <row r="27" spans="1:4">
      <c r="A27" s="279" t="str">
        <f>languages!A31</f>
        <v xml:space="preserve">Capital Propio </v>
      </c>
      <c r="B27" s="432">
        <f>B9-B26</f>
        <v>-12200</v>
      </c>
      <c r="C27" s="288"/>
      <c r="D27" s="841"/>
    </row>
    <row r="28" spans="1:4">
      <c r="A28" s="279" t="str">
        <f>languages!A32</f>
        <v>Plazo Crédito (en años)</v>
      </c>
      <c r="B28" s="434">
        <v>20</v>
      </c>
      <c r="C28" s="288"/>
      <c r="D28" s="841"/>
    </row>
    <row r="29" spans="1:4">
      <c r="A29" s="279" t="str">
        <f>languages!A33</f>
        <v>Años con Tasa fija de Interés</v>
      </c>
      <c r="B29" s="434">
        <v>19</v>
      </c>
      <c r="C29" s="288"/>
      <c r="D29" s="841"/>
    </row>
    <row r="30" spans="1:4">
      <c r="A30" s="279" t="str">
        <f>languages!A34</f>
        <v>Periodo de Gracia (en años)</v>
      </c>
      <c r="B30" s="434">
        <v>3</v>
      </c>
      <c r="C30" s="288"/>
      <c r="D30" s="841"/>
    </row>
    <row r="31" spans="1:4" ht="31.5">
      <c r="A31" s="279" t="str">
        <f>languages!A35</f>
        <v>Tipo Crédito</v>
      </c>
      <c r="B31" s="439" t="s">
        <v>488</v>
      </c>
      <c r="C31" s="288"/>
      <c r="D31" s="842"/>
    </row>
    <row r="32" spans="1:4">
      <c r="A32" s="279" t="str">
        <f>languages!A36</f>
        <v>Tasa de Interés</v>
      </c>
      <c r="B32" s="440">
        <v>0.06</v>
      </c>
      <c r="C32" s="288"/>
      <c r="D32" s="449">
        <f>'Calc Sensitivity'!B35</f>
        <v>0.06</v>
      </c>
    </row>
    <row r="33" spans="1:4">
      <c r="A33" s="279" t="str">
        <f>languages!A37</f>
        <v>Tasa Interés después de Periodo Tasa Fija</v>
      </c>
      <c r="B33" s="440">
        <v>0.06</v>
      </c>
      <c r="C33" s="288"/>
      <c r="D33" s="449">
        <f>'Calc Sensitivity'!B36</f>
        <v>0.06</v>
      </c>
    </row>
    <row r="34" spans="1:4">
      <c r="A34" s="279" t="str">
        <f>languages!A38</f>
        <v>Mes Inicio del Credito</v>
      </c>
      <c r="B34" s="434">
        <v>1</v>
      </c>
      <c r="C34" s="288"/>
      <c r="D34" s="840"/>
    </row>
    <row r="35" spans="1:4">
      <c r="A35" s="279" t="str">
        <f>languages!A39</f>
        <v>Desembolso del Credito (en %)</v>
      </c>
      <c r="B35" s="438">
        <v>0.92</v>
      </c>
      <c r="C35" s="288"/>
      <c r="D35" s="841"/>
    </row>
    <row r="36" spans="1:4">
      <c r="A36" s="279" t="str">
        <f>languages!A40</f>
        <v>Criterio Índice de Corbertura de Servicio de Deuda</v>
      </c>
      <c r="B36" s="441">
        <v>1.4</v>
      </c>
      <c r="C36" s="288"/>
      <c r="D36" s="841"/>
    </row>
    <row r="37" spans="1:4">
      <c r="A37" s="284"/>
      <c r="B37" s="285"/>
      <c r="C37" s="286"/>
      <c r="D37" s="291"/>
    </row>
    <row r="38" spans="1:4">
      <c r="A38" s="837" t="str">
        <f>languages!A42</f>
        <v>Parámetros</v>
      </c>
      <c r="B38" s="838"/>
      <c r="C38" s="288"/>
      <c r="D38" s="280"/>
    </row>
    <row r="39" spans="1:4">
      <c r="A39" s="280" t="str">
        <f>languages!A43</f>
        <v>Tasa de Descuento (%)</v>
      </c>
      <c r="B39" s="450">
        <v>0.1</v>
      </c>
      <c r="C39" s="288"/>
      <c r="D39" s="451">
        <f>'Calc Sensitivity'!B6</f>
        <v>0.1</v>
      </c>
    </row>
    <row r="40" spans="1:4">
      <c r="A40" s="280" t="str">
        <f>languages!A44</f>
        <v>Inflación (%)</v>
      </c>
      <c r="B40" s="450">
        <v>0.03</v>
      </c>
      <c r="C40" s="288"/>
      <c r="D40" s="849"/>
    </row>
    <row r="41" spans="1:4">
      <c r="A41" s="280" t="str">
        <f>languages!A45</f>
        <v>Incremento Precio Energía</v>
      </c>
      <c r="B41" s="281">
        <f>IF($B$12="PV",PV!C15,IF($B$12="Wind",Wind!C16,IF($B$12="Cogeneration",Cogen!C24,Efficiency!B43)))</f>
        <v>0.03</v>
      </c>
      <c r="C41" s="288"/>
      <c r="D41" s="850"/>
    </row>
    <row r="42" spans="1:4">
      <c r="A42" s="280" t="str">
        <f>languages!A46</f>
        <v>Vida Util Equipos/Planta (en años)</v>
      </c>
      <c r="B42" s="281">
        <f>IF($B$12="PV",PV!C10,IF($B$12="Wind",Wind!C11,IF($B$12="Cogeneration",Cogen!C10,Efficiency!B42)))</f>
        <v>25</v>
      </c>
      <c r="C42" s="288"/>
      <c r="D42" s="851"/>
    </row>
    <row r="43" spans="1:4">
      <c r="A43" s="284"/>
      <c r="B43" s="291"/>
      <c r="C43" s="288"/>
      <c r="D43" s="291"/>
    </row>
    <row r="44" spans="1:4">
      <c r="A44" s="839" t="str">
        <f>languages!A48</f>
        <v>Impuestos</v>
      </c>
      <c r="B44" s="838"/>
      <c r="C44" s="288"/>
      <c r="D44" s="282"/>
    </row>
    <row r="45" spans="1:4">
      <c r="A45" s="282" t="str">
        <f>languages!A49</f>
        <v>Tasa de Impuestos (%)</v>
      </c>
      <c r="B45" s="438">
        <v>0.21</v>
      </c>
      <c r="C45" s="288"/>
      <c r="D45" s="308"/>
    </row>
    <row r="46" spans="1:4">
      <c r="A46" s="282" t="str">
        <f>languages!A50</f>
        <v>Utilidad libre de Impuestos</v>
      </c>
      <c r="B46" s="434">
        <v>0</v>
      </c>
      <c r="C46" s="288"/>
      <c r="D46" s="282"/>
    </row>
    <row r="47" spans="1:4">
      <c r="A47" s="284"/>
      <c r="B47" s="285"/>
      <c r="C47" s="286"/>
      <c r="D47" s="291"/>
    </row>
    <row r="48" spans="1:4">
      <c r="A48" s="283" t="str">
        <f>languages!A52</f>
        <v>Año Inicio Proyecto</v>
      </c>
      <c r="B48" s="442">
        <v>2015</v>
      </c>
      <c r="C48" s="289"/>
      <c r="D48" s="283"/>
    </row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 spans="1:1"/>
    <row r="82" spans="1:1"/>
    <row r="83" spans="1:1" hidden="1"/>
    <row r="84" spans="1:1" hidden="1"/>
    <row r="85" spans="1:1" hidden="1"/>
    <row r="86" spans="1:1" hidden="1"/>
    <row r="87" spans="1:1" hidden="1"/>
    <row r="88" spans="1:1" hidden="1"/>
    <row r="89" spans="1:1" hidden="1"/>
    <row r="90" spans="1:1" hidden="1"/>
    <row r="91" spans="1:1" hidden="1"/>
    <row r="92" spans="1:1" hidden="1"/>
    <row r="93" spans="1:1" hidden="1"/>
    <row r="94" spans="1:1" hidden="1"/>
    <row r="95" spans="1:1" hidden="1"/>
    <row r="96" spans="1:1" hidden="1">
      <c r="A96" s="173" t="str">
        <f>languages!A233</f>
        <v>Annuitätendarlehen - Quotas anuales constantes</v>
      </c>
    </row>
    <row r="97" spans="1:1" hidden="1">
      <c r="A97" s="173" t="str">
        <f>languages!A234</f>
        <v>Fixe Tilgungsrate - Tasa de reembolso fija</v>
      </c>
    </row>
    <row r="98" spans="1:1" hidden="1"/>
    <row r="99" spans="1:1" ht="18" hidden="1">
      <c r="A99" s="272" t="s">
        <v>397</v>
      </c>
    </row>
    <row r="100" spans="1:1" ht="18" hidden="1">
      <c r="A100" s="272" t="s">
        <v>398</v>
      </c>
    </row>
    <row r="101" spans="1:1" ht="18" hidden="1">
      <c r="A101" s="272" t="s">
        <v>463</v>
      </c>
    </row>
    <row r="102" spans="1:1" ht="18" hidden="1">
      <c r="A102" s="272" t="s">
        <v>490</v>
      </c>
    </row>
    <row r="103" spans="1:1" hidden="1"/>
  </sheetData>
  <dataConsolidate/>
  <mergeCells count="18">
    <mergeCell ref="F2:I2"/>
    <mergeCell ref="J2:J3"/>
    <mergeCell ref="K2:K3"/>
    <mergeCell ref="A4:B4"/>
    <mergeCell ref="A16:B16"/>
    <mergeCell ref="A24:B24"/>
    <mergeCell ref="F4:I4"/>
    <mergeCell ref="F5:I5"/>
    <mergeCell ref="F6:I6"/>
    <mergeCell ref="F7:I7"/>
    <mergeCell ref="F8:I8"/>
    <mergeCell ref="A38:B38"/>
    <mergeCell ref="A44:B44"/>
    <mergeCell ref="D26:D31"/>
    <mergeCell ref="D6:D10"/>
    <mergeCell ref="D20:D22"/>
    <mergeCell ref="D34:D36"/>
    <mergeCell ref="D40:D42"/>
  </mergeCells>
  <dataValidations count="14">
    <dataValidation type="whole" operator="greaterThanOrEqual" allowBlank="1" showInputMessage="1" showErrorMessage="1" error="Please insert a positiv integer number" sqref="B10 B7">
      <formula1>0</formula1>
    </dataValidation>
    <dataValidation type="whole" operator="lessThanOrEqual" allowBlank="1" showInputMessage="1" showErrorMessage="1" error="Please insert a negativ  integer number for costs" sqref="B6">
      <formula1>0</formula1>
    </dataValidation>
    <dataValidation type="whole" operator="lessThanOrEqual" allowBlank="1" showInputMessage="1" showErrorMessage="1" error="Please insert a positiv integer number" sqref="B8">
      <formula1>0</formula1>
    </dataValidation>
    <dataValidation allowBlank="1" showInputMessage="1" showErrorMessage="1" prompt="Zahl muss kleiner als Laufzeit Kredit sein" sqref="B29"/>
    <dataValidation type="decimal" allowBlank="1" showInputMessage="1" showErrorMessage="1" sqref="B13 B42">
      <formula1>0</formula1>
      <formula2>99999999999999</formula2>
    </dataValidation>
    <dataValidation type="whole" allowBlank="1" showInputMessage="1" showErrorMessage="1" sqref="B48">
      <formula1>1900</formula1>
      <formula2>2100</formula2>
    </dataValidation>
    <dataValidation type="whole" allowBlank="1" showInputMessage="1" showErrorMessage="1" sqref="B46">
      <formula1>0</formula1>
      <formula2>1000000</formula2>
    </dataValidation>
    <dataValidation type="decimal" allowBlank="1" showInputMessage="1" showErrorMessage="1" sqref="B45">
      <formula1>0</formula1>
      <formula2>0.5</formula2>
    </dataValidation>
    <dataValidation type="decimal" allowBlank="1" showInputMessage="1" showErrorMessage="1" sqref="B36">
      <formula1>1</formula1>
      <formula2>2</formula2>
    </dataValidation>
    <dataValidation type="decimal" allowBlank="1" showInputMessage="1" showErrorMessage="1" sqref="B35">
      <formula1>0.8</formula1>
      <formula2>1</formula2>
    </dataValidation>
    <dataValidation type="whole" allowBlank="1" showInputMessage="1" showErrorMessage="1" sqref="B34">
      <formula1>1</formula1>
      <formula2>12</formula2>
    </dataValidation>
    <dataValidation type="decimal" allowBlank="1" showInputMessage="1" showErrorMessage="1" sqref="B19">
      <formula1>-999999999999</formula1>
      <formula2>0</formula2>
    </dataValidation>
    <dataValidation type="list" allowBlank="1" showInputMessage="1" showErrorMessage="1" sqref="B31">
      <formula1>$A$96:$A$97</formula1>
    </dataValidation>
    <dataValidation type="list" allowBlank="1" showInputMessage="1" showErrorMessage="1" sqref="B12">
      <formula1>$A$99:$A$102</formula1>
    </dataValidation>
  </dataValidations>
  <pageMargins left="0.70866141732283472" right="0.70866141732283472" top="0.78740157480314965" bottom="0.78740157480314965" header="0.31496062992125984" footer="0.31496062992125984"/>
  <pageSetup paperSize="9" scale="32" orientation="portrait" horizontalDpi="4294967293" r:id="rId1"/>
  <ignoredErrors>
    <ignoredError sqref="J7:J8 K7:K8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B2:I38"/>
  <sheetViews>
    <sheetView showGridLines="0" showWhiteSpace="0" view="pageLayout" topLeftCell="A4" zoomScale="115" zoomScaleNormal="100" zoomScalePageLayoutView="115" workbookViewId="0">
      <selection activeCell="F8" sqref="F8"/>
    </sheetView>
  </sheetViews>
  <sheetFormatPr baseColWidth="10" defaultRowHeight="12.75"/>
  <cols>
    <col min="1" max="1" width="5.5" style="93" customWidth="1"/>
    <col min="2" max="2" width="5.875" style="93" customWidth="1"/>
    <col min="3" max="3" width="41.875" style="93" customWidth="1"/>
    <col min="4" max="4" width="11" style="93"/>
    <col min="5" max="5" width="15.75" style="93" bestFit="1" customWidth="1"/>
    <col min="6" max="6" width="19" style="93" customWidth="1"/>
    <col min="7" max="7" width="33" style="93" customWidth="1"/>
    <col min="8" max="16384" width="11" style="93"/>
  </cols>
  <sheetData>
    <row r="2" spans="2:9" ht="15.75" customHeight="1">
      <c r="B2" s="859" t="str">
        <f>languages!A97</f>
        <v>Costos RRHH y Administrativos</v>
      </c>
      <c r="C2" s="859"/>
    </row>
    <row r="4" spans="2:9" ht="13.5" thickBot="1">
      <c r="B4" s="94"/>
      <c r="C4" s="94"/>
      <c r="D4" s="94"/>
      <c r="E4" s="94"/>
    </row>
    <row r="5" spans="2:9" ht="14.25">
      <c r="B5" s="463">
        <v>1</v>
      </c>
      <c r="C5" s="342" t="str">
        <f>languages!A101</f>
        <v>Costos RRHH</v>
      </c>
      <c r="D5" s="95"/>
      <c r="E5" s="464"/>
    </row>
    <row r="6" spans="2:9" s="97" customFormat="1">
      <c r="B6" s="465"/>
      <c r="C6" s="466"/>
      <c r="D6" s="344" t="str">
        <f>languages!A98</f>
        <v>$/Mes</v>
      </c>
      <c r="E6" s="467" t="str">
        <f>languages!A$99</f>
        <v>$/Año</v>
      </c>
      <c r="H6" s="93"/>
      <c r="I6" s="93"/>
    </row>
    <row r="7" spans="2:9">
      <c r="B7" s="468"/>
      <c r="C7" s="346" t="str">
        <f>languages!A102</f>
        <v>Salario Posición 1 ($/Mes por persona)</v>
      </c>
      <c r="D7" s="350"/>
      <c r="E7" s="469">
        <f>D7*12</f>
        <v>0</v>
      </c>
      <c r="G7" s="98"/>
    </row>
    <row r="8" spans="2:9">
      <c r="B8" s="470"/>
      <c r="C8" s="346" t="str">
        <f>languages!A103</f>
        <v>Número de Personas Tiempo Completo</v>
      </c>
      <c r="D8" s="350"/>
      <c r="E8" s="471"/>
      <c r="G8" s="100"/>
    </row>
    <row r="9" spans="2:9">
      <c r="B9" s="472"/>
      <c r="C9" s="347" t="str">
        <f>languages!A104</f>
        <v>Total</v>
      </c>
      <c r="D9" s="348"/>
      <c r="E9" s="473">
        <f>E7*D8</f>
        <v>0</v>
      </c>
      <c r="G9" s="100"/>
    </row>
    <row r="10" spans="2:9">
      <c r="B10" s="468"/>
      <c r="C10" s="346" t="str">
        <f>languages!A105</f>
        <v>Salario Posición 2 ($/Mes por persona)</v>
      </c>
      <c r="D10" s="350"/>
      <c r="E10" s="469">
        <f>D10*12</f>
        <v>0</v>
      </c>
      <c r="G10" s="100"/>
    </row>
    <row r="11" spans="2:9">
      <c r="B11" s="470"/>
      <c r="C11" s="346" t="str">
        <f>languages!A106</f>
        <v>Número de Personas Tiempo Completo</v>
      </c>
      <c r="D11" s="350"/>
      <c r="E11" s="471"/>
      <c r="G11" s="100"/>
    </row>
    <row r="12" spans="2:9">
      <c r="B12" s="472"/>
      <c r="C12" s="347" t="str">
        <f>languages!A107</f>
        <v>Total</v>
      </c>
      <c r="D12" s="348"/>
      <c r="E12" s="473">
        <f>E10*D11</f>
        <v>0</v>
      </c>
      <c r="G12" s="100"/>
    </row>
    <row r="13" spans="2:9">
      <c r="B13" s="468"/>
      <c r="C13" s="346" t="str">
        <f>languages!A108</f>
        <v>Salario Posición 3 ($/Mes por persona)</v>
      </c>
      <c r="D13" s="350"/>
      <c r="E13" s="469">
        <f>D13*12</f>
        <v>0</v>
      </c>
      <c r="G13" s="100"/>
    </row>
    <row r="14" spans="2:9">
      <c r="B14" s="470"/>
      <c r="C14" s="346" t="str">
        <f>languages!A109</f>
        <v>Número de Personas Tiempo Completo</v>
      </c>
      <c r="D14" s="350"/>
      <c r="E14" s="471"/>
    </row>
    <row r="15" spans="2:9">
      <c r="B15" s="472"/>
      <c r="C15" s="347" t="str">
        <f>languages!A110</f>
        <v>Total</v>
      </c>
      <c r="D15" s="348"/>
      <c r="E15" s="473">
        <f>E13*D14</f>
        <v>0</v>
      </c>
    </row>
    <row r="16" spans="2:9">
      <c r="B16" s="468"/>
      <c r="C16" s="346" t="str">
        <f>languages!A111</f>
        <v>Salario Posición 4 ($/Mes por persona)</v>
      </c>
      <c r="D16" s="350"/>
      <c r="E16" s="469">
        <f>D16*12</f>
        <v>0</v>
      </c>
    </row>
    <row r="17" spans="2:5">
      <c r="B17" s="470"/>
      <c r="C17" s="346" t="str">
        <f>languages!A112</f>
        <v>Número de Personas Tiempo Completo</v>
      </c>
      <c r="D17" s="350"/>
      <c r="E17" s="471"/>
    </row>
    <row r="18" spans="2:5">
      <c r="B18" s="472"/>
      <c r="C18" s="347" t="str">
        <f>languages!A113</f>
        <v>Total</v>
      </c>
      <c r="D18" s="348"/>
      <c r="E18" s="473">
        <f>E16*D17</f>
        <v>0</v>
      </c>
    </row>
    <row r="19" spans="2:5">
      <c r="B19" s="468"/>
      <c r="C19" s="346" t="str">
        <f>languages!A114</f>
        <v>Salario Posición 5 ($/Mes por persona)</v>
      </c>
      <c r="D19" s="350"/>
      <c r="E19" s="469">
        <f>D19*12</f>
        <v>0</v>
      </c>
    </row>
    <row r="20" spans="2:5">
      <c r="B20" s="470"/>
      <c r="C20" s="346" t="str">
        <f>languages!A115</f>
        <v>Número de Personas Tiempo Completo</v>
      </c>
      <c r="D20" s="350"/>
      <c r="E20" s="471"/>
    </row>
    <row r="21" spans="2:5">
      <c r="B21" s="472"/>
      <c r="C21" s="347" t="str">
        <f>languages!A116</f>
        <v>Total</v>
      </c>
      <c r="D21" s="348"/>
      <c r="E21" s="473">
        <f>E19*D20</f>
        <v>0</v>
      </c>
    </row>
    <row r="22" spans="2:5">
      <c r="B22" s="470"/>
      <c r="C22" s="474" t="str">
        <f>languages!A117</f>
        <v>Otros Costos de Personal ($/Mes)</v>
      </c>
      <c r="D22" s="349"/>
      <c r="E22" s="475">
        <f>D22*12</f>
        <v>0</v>
      </c>
    </row>
    <row r="23" spans="2:5" ht="13.5" thickBot="1">
      <c r="B23" s="476"/>
      <c r="C23" s="352" t="str">
        <f>languages!A118</f>
        <v>Total Costos Personal</v>
      </c>
      <c r="D23" s="351"/>
      <c r="E23" s="477">
        <f>SUM(E22,E21,E18,E15,E12,E9)</f>
        <v>0</v>
      </c>
    </row>
    <row r="24" spans="2:5" ht="5.25" customHeight="1" thickTop="1">
      <c r="B24" s="470"/>
      <c r="C24" s="345"/>
      <c r="D24" s="345"/>
      <c r="E24" s="478"/>
    </row>
    <row r="25" spans="2:5" ht="14.25">
      <c r="B25" s="479">
        <v>2</v>
      </c>
      <c r="C25" s="343" t="str">
        <f>languages!A173</f>
        <v>Costos Administrativos</v>
      </c>
      <c r="D25" s="96"/>
      <c r="E25" s="480"/>
    </row>
    <row r="26" spans="2:5">
      <c r="B26" s="481"/>
      <c r="C26" s="101"/>
      <c r="D26" s="99" t="str">
        <f>languages!A98</f>
        <v>$/Mes</v>
      </c>
      <c r="E26" s="482" t="str">
        <f>languages!A$99</f>
        <v>$/Año</v>
      </c>
    </row>
    <row r="27" spans="2:5">
      <c r="B27" s="470"/>
      <c r="C27" s="483" t="str">
        <f>languages!A120</f>
        <v>Arriendo Oficina</v>
      </c>
      <c r="D27" s="433"/>
      <c r="E27" s="484">
        <v>0</v>
      </c>
    </row>
    <row r="28" spans="2:5">
      <c r="B28" s="470"/>
      <c r="C28" s="483" t="str">
        <f>languages!A121</f>
        <v>Costos Administrativos e Insumos</v>
      </c>
      <c r="D28" s="433"/>
      <c r="E28" s="484">
        <f t="shared" ref="E28:E35" si="0">D28*12</f>
        <v>0</v>
      </c>
    </row>
    <row r="29" spans="2:5">
      <c r="B29" s="470"/>
      <c r="C29" s="483" t="str">
        <f>languages!A122</f>
        <v>Costo Categoría 1</v>
      </c>
      <c r="D29" s="433"/>
      <c r="E29" s="484">
        <f t="shared" si="0"/>
        <v>0</v>
      </c>
    </row>
    <row r="30" spans="2:5">
      <c r="B30" s="470"/>
      <c r="C30" s="483" t="str">
        <f>languages!A123</f>
        <v>Costo Categoría 2</v>
      </c>
      <c r="D30" s="433"/>
      <c r="E30" s="484">
        <f t="shared" si="0"/>
        <v>0</v>
      </c>
    </row>
    <row r="31" spans="2:5">
      <c r="B31" s="470"/>
      <c r="C31" s="483" t="str">
        <f>languages!A124</f>
        <v>Costo Categoría 3</v>
      </c>
      <c r="D31" s="433"/>
      <c r="E31" s="484">
        <f t="shared" si="0"/>
        <v>0</v>
      </c>
    </row>
    <row r="32" spans="2:5">
      <c r="B32" s="470"/>
      <c r="C32" s="483" t="str">
        <f>languages!A125</f>
        <v>Costo Categoría 4</v>
      </c>
      <c r="D32" s="433"/>
      <c r="E32" s="484">
        <f t="shared" si="0"/>
        <v>0</v>
      </c>
    </row>
    <row r="33" spans="2:5">
      <c r="B33" s="470"/>
      <c r="C33" s="483" t="str">
        <f>languages!A126</f>
        <v>Costo Categoría 5</v>
      </c>
      <c r="D33" s="433"/>
      <c r="E33" s="484">
        <f t="shared" si="0"/>
        <v>0</v>
      </c>
    </row>
    <row r="34" spans="2:5">
      <c r="B34" s="470"/>
      <c r="C34" s="483" t="str">
        <f>languages!A127</f>
        <v>Costo Categoría 6</v>
      </c>
      <c r="D34" s="433"/>
      <c r="E34" s="484">
        <f t="shared" si="0"/>
        <v>0</v>
      </c>
    </row>
    <row r="35" spans="2:5" ht="13.5" thickBot="1">
      <c r="B35" s="470"/>
      <c r="C35" s="483" t="str">
        <f>languages!A128</f>
        <v>Otros Costos</v>
      </c>
      <c r="D35" s="433"/>
      <c r="E35" s="484">
        <f t="shared" si="0"/>
        <v>0</v>
      </c>
    </row>
    <row r="36" spans="2:5" ht="14.25" thickTop="1" thickBot="1">
      <c r="B36" s="485"/>
      <c r="C36" s="461" t="str">
        <f>languages!A129</f>
        <v>Total Costos Administrativos</v>
      </c>
      <c r="D36" s="462"/>
      <c r="E36" s="486">
        <f>SUM(E27:E35)</f>
        <v>0</v>
      </c>
    </row>
    <row r="37" spans="2:5" ht="15" customHeight="1" thickTop="1" thickBot="1">
      <c r="B37" s="487"/>
      <c r="C37" s="488" t="str">
        <f>languages!A100</f>
        <v>Costos Anuales</v>
      </c>
      <c r="D37" s="489"/>
      <c r="E37" s="490">
        <f>E36+E23</f>
        <v>0</v>
      </c>
    </row>
    <row r="38" spans="2:5" ht="21" customHeight="1">
      <c r="B38" s="93" t="s">
        <v>12</v>
      </c>
    </row>
  </sheetData>
  <mergeCells count="1">
    <mergeCell ref="B2:C2"/>
  </mergeCells>
  <phoneticPr fontId="9" type="noConversion"/>
  <pageMargins left="0.70866141732283472" right="0.78740157480314965" top="0.74803149606299213" bottom="0.74803149606299213" header="0.31496062992125984" footer="0.31496062992125984"/>
  <pageSetup orientation="portrait" r:id="rId1"/>
  <headerFooter>
    <oddHeader>&amp;L&amp;G&amp;C&amp;G&amp;R&amp;G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3554" r:id="rId5" name="Button 2">
              <controlPr defaultSize="0" print="0" autoFill="0" autoPict="0" macro="[0]!Reset_Stuff">
                <anchor>
                  <from>
                    <xdr:col>5</xdr:col>
                    <xdr:colOff>323850</xdr:colOff>
                    <xdr:row>12</xdr:row>
                    <xdr:rowOff>152400</xdr:rowOff>
                  </from>
                  <to>
                    <xdr:col>5</xdr:col>
                    <xdr:colOff>1028700</xdr:colOff>
                    <xdr:row>15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6" tint="0.59999389629810485"/>
    <pageSetUpPr fitToPage="1"/>
  </sheetPr>
  <dimension ref="A1:AF48"/>
  <sheetViews>
    <sheetView showGridLines="0" topLeftCell="A13" zoomScaleNormal="100" workbookViewId="0">
      <selection activeCell="C36" sqref="C36"/>
    </sheetView>
  </sheetViews>
  <sheetFormatPr baseColWidth="10" defaultColWidth="0" defaultRowHeight="15.75" zeroHeight="1"/>
  <cols>
    <col min="1" max="1" width="44.5" customWidth="1"/>
    <col min="2" max="2" width="14.25" customWidth="1"/>
    <col min="3" max="3" width="12.625" bestFit="1" customWidth="1"/>
    <col min="4" max="6" width="11" customWidth="1"/>
    <col min="7" max="9" width="9.875" bestFit="1" customWidth="1"/>
    <col min="10" max="15" width="10.125" customWidth="1"/>
    <col min="16" max="33" width="11" customWidth="1"/>
  </cols>
  <sheetData>
    <row r="1" spans="1:7" ht="21">
      <c r="A1" s="866" t="s">
        <v>397</v>
      </c>
      <c r="B1" s="867"/>
      <c r="C1" s="867"/>
      <c r="D1" s="867"/>
      <c r="E1" s="867"/>
      <c r="F1" s="867"/>
      <c r="G1" s="868"/>
    </row>
    <row r="2" spans="1:7">
      <c r="A2" s="317"/>
      <c r="B2" s="258"/>
      <c r="C2" s="328"/>
      <c r="D2" s="863"/>
      <c r="E2" s="860" t="str">
        <f>languages!A411</f>
        <v>Rangos Empíricos</v>
      </c>
      <c r="F2" s="861"/>
      <c r="G2" s="862"/>
    </row>
    <row r="3" spans="1:7">
      <c r="A3" s="319" t="str">
        <f>languages!A408</f>
        <v>Datos Base</v>
      </c>
      <c r="B3" s="259" t="str">
        <f>languages!A409</f>
        <v>Unidad</v>
      </c>
      <c r="C3" s="259" t="str">
        <f>languages!A410</f>
        <v>Valor</v>
      </c>
      <c r="D3" s="841"/>
      <c r="E3" s="328" t="str">
        <f>languages!A412</f>
        <v>Alto</v>
      </c>
      <c r="F3" s="328" t="str">
        <f>languages!A413</f>
        <v>Medio</v>
      </c>
      <c r="G3" s="366" t="str">
        <f>languages!A414</f>
        <v>Bajo</v>
      </c>
    </row>
    <row r="4" spans="1:7">
      <c r="A4" s="317" t="str">
        <f>languages!A415</f>
        <v>Capacidad Instalada</v>
      </c>
      <c r="B4" s="258" t="s">
        <v>199</v>
      </c>
      <c r="C4" s="320">
        <v>35</v>
      </c>
      <c r="D4" s="841"/>
      <c r="E4" s="874"/>
      <c r="F4" s="875"/>
      <c r="G4" s="876"/>
    </row>
    <row r="5" spans="1:7">
      <c r="A5" s="317" t="str">
        <f>languages!A416</f>
        <v>CAPEX</v>
      </c>
      <c r="B5" s="258" t="s">
        <v>206</v>
      </c>
      <c r="C5" s="320">
        <v>61000</v>
      </c>
      <c r="D5" s="841"/>
      <c r="E5" s="877"/>
      <c r="F5" s="872"/>
      <c r="G5" s="873"/>
    </row>
    <row r="6" spans="1:7">
      <c r="A6" s="317" t="str">
        <f>languages!A417</f>
        <v>Costos Inversión Específicos</v>
      </c>
      <c r="B6" s="258" t="s">
        <v>242</v>
      </c>
      <c r="C6" s="321">
        <f>IF(C4=0,0,IF(C5=0,0,(C5/C4)))</f>
        <v>1742.8571428571429</v>
      </c>
      <c r="D6" s="841"/>
      <c r="E6" s="258">
        <v>3500</v>
      </c>
      <c r="F6" s="258">
        <v>2500</v>
      </c>
      <c r="G6" s="318">
        <v>1800</v>
      </c>
    </row>
    <row r="7" spans="1:7">
      <c r="A7" s="317" t="str">
        <f>languages!A418</f>
        <v>Factor de Capacidad</v>
      </c>
      <c r="B7" s="258" t="s">
        <v>241</v>
      </c>
      <c r="C7" s="663">
        <v>0.2</v>
      </c>
      <c r="D7" s="841"/>
      <c r="E7" s="325">
        <v>0.25</v>
      </c>
      <c r="F7" s="325">
        <v>0.2</v>
      </c>
      <c r="G7" s="618">
        <v>0.18</v>
      </c>
    </row>
    <row r="8" spans="1:7">
      <c r="A8" s="317" t="str">
        <f>languages!A419</f>
        <v>Horas Funcionamiento (Factor Capacidad x 8.760h)</v>
      </c>
      <c r="B8" s="258" t="s">
        <v>240</v>
      </c>
      <c r="C8" s="321">
        <f>C7*8760</f>
        <v>1752</v>
      </c>
      <c r="D8" s="841"/>
      <c r="E8" s="258">
        <f>E7*8760</f>
        <v>2190</v>
      </c>
      <c r="F8" s="258">
        <f>F7*8760</f>
        <v>1752</v>
      </c>
      <c r="G8" s="318">
        <f>G7*8760</f>
        <v>1576.8</v>
      </c>
    </row>
    <row r="9" spans="1:7">
      <c r="A9" s="317" t="str">
        <f>languages!A420</f>
        <v xml:space="preserve">Degradación Anual de Producción </v>
      </c>
      <c r="B9" s="258" t="s">
        <v>243</v>
      </c>
      <c r="C9" s="663">
        <v>2E-3</v>
      </c>
      <c r="D9" s="841"/>
      <c r="E9" s="323">
        <v>5.0000000000000001E-3</v>
      </c>
      <c r="F9" s="323">
        <v>3.0000000000000001E-3</v>
      </c>
      <c r="G9" s="324">
        <v>2E-3</v>
      </c>
    </row>
    <row r="10" spans="1:7">
      <c r="A10" s="317" t="str">
        <f>languages!A421</f>
        <v>Vida Útil</v>
      </c>
      <c r="B10" s="258" t="s">
        <v>441</v>
      </c>
      <c r="C10" s="320">
        <v>25</v>
      </c>
      <c r="D10" s="841"/>
      <c r="E10" s="258">
        <v>25</v>
      </c>
      <c r="F10" s="258">
        <v>20</v>
      </c>
      <c r="G10" s="318">
        <v>15</v>
      </c>
    </row>
    <row r="11" spans="1:7">
      <c r="A11" s="317" t="str">
        <f>languages!A422</f>
        <v>Precio Venta Electricidad</v>
      </c>
      <c r="B11" s="258" t="s">
        <v>207</v>
      </c>
      <c r="C11" s="322">
        <v>0.08</v>
      </c>
      <c r="D11" s="841"/>
      <c r="E11" s="258">
        <v>0.12</v>
      </c>
      <c r="F11" s="258">
        <v>0.11</v>
      </c>
      <c r="G11" s="619">
        <v>0.1</v>
      </c>
    </row>
    <row r="12" spans="1:7">
      <c r="A12" s="317" t="str">
        <f>languages!A423</f>
        <v>Precio de Compra</v>
      </c>
      <c r="B12" s="258" t="s">
        <v>207</v>
      </c>
      <c r="C12" s="322">
        <v>0.08</v>
      </c>
      <c r="D12" s="841"/>
      <c r="E12" s="258">
        <v>0.18</v>
      </c>
      <c r="F12" s="258">
        <v>0.14000000000000001</v>
      </c>
      <c r="G12" s="318">
        <v>0.12</v>
      </c>
    </row>
    <row r="13" spans="1:7" ht="16.5" thickBot="1">
      <c r="A13" s="317" t="str">
        <f>languages!A424</f>
        <v>% Electricidad Uso Propio</v>
      </c>
      <c r="B13" s="258" t="s">
        <v>241</v>
      </c>
      <c r="C13" s="663">
        <v>1</v>
      </c>
      <c r="D13" s="841"/>
      <c r="E13" s="878"/>
      <c r="F13" s="875"/>
      <c r="G13" s="876"/>
    </row>
    <row r="14" spans="1:7">
      <c r="A14" s="317" t="str">
        <f>languages!A425</f>
        <v>Incremento Anual Precio Venta %</v>
      </c>
      <c r="B14" s="258" t="s">
        <v>243</v>
      </c>
      <c r="C14" s="663">
        <v>0.03</v>
      </c>
      <c r="D14" s="864"/>
      <c r="E14" s="333">
        <v>0.03</v>
      </c>
      <c r="F14" s="334">
        <v>0.01</v>
      </c>
      <c r="G14" s="335">
        <v>0</v>
      </c>
    </row>
    <row r="15" spans="1:7">
      <c r="A15" s="317" t="str">
        <f>languages!A426</f>
        <v>Incremento Anual Precio Compra %</v>
      </c>
      <c r="B15" s="258" t="s">
        <v>243</v>
      </c>
      <c r="C15" s="663">
        <v>0.03</v>
      </c>
      <c r="D15" s="864"/>
      <c r="E15" s="336">
        <v>0.05</v>
      </c>
      <c r="F15" s="337">
        <v>1.4999999999999999E-2</v>
      </c>
      <c r="G15" s="338">
        <v>0</v>
      </c>
    </row>
    <row r="16" spans="1:7" ht="16.5" thickBot="1">
      <c r="A16" s="317" t="str">
        <f>languages!A427</f>
        <v>Tasa de Inflación (Incremento Costos Mantención)</v>
      </c>
      <c r="B16" s="258" t="s">
        <v>243</v>
      </c>
      <c r="C16" s="664">
        <f>'Main Input-Output'!B40</f>
        <v>0.03</v>
      </c>
      <c r="D16" s="864"/>
      <c r="E16" s="339">
        <v>0.1</v>
      </c>
      <c r="F16" s="340">
        <v>0.04</v>
      </c>
      <c r="G16" s="341">
        <v>5.0000000000000001E-3</v>
      </c>
    </row>
    <row r="17" spans="1:32">
      <c r="A17" s="869"/>
      <c r="B17" s="870"/>
      <c r="C17" s="831"/>
      <c r="D17" s="841"/>
      <c r="E17" s="871"/>
      <c r="F17" s="872"/>
      <c r="G17" s="873"/>
    </row>
    <row r="18" spans="1:32">
      <c r="A18" s="317" t="str">
        <f>languages!A428</f>
        <v>Arriendo Anual</v>
      </c>
      <c r="B18" s="258" t="s">
        <v>209</v>
      </c>
      <c r="C18" s="667">
        <v>0</v>
      </c>
      <c r="D18" s="841"/>
      <c r="E18" s="600"/>
      <c r="F18" s="601"/>
      <c r="G18" s="602"/>
      <c r="L18" s="256"/>
    </row>
    <row r="19" spans="1:32">
      <c r="A19" s="317" t="str">
        <f>languages!A429</f>
        <v>Seguros</v>
      </c>
      <c r="B19" s="258" t="s">
        <v>209</v>
      </c>
      <c r="C19" s="667">
        <v>0</v>
      </c>
      <c r="D19" s="841"/>
      <c r="E19" s="603"/>
      <c r="F19" s="365"/>
      <c r="G19" s="370"/>
      <c r="L19" s="256"/>
    </row>
    <row r="20" spans="1:32">
      <c r="A20" s="317" t="str">
        <f>languages!A430</f>
        <v>Contador</v>
      </c>
      <c r="B20" s="258" t="s">
        <v>209</v>
      </c>
      <c r="C20" s="667">
        <v>0</v>
      </c>
      <c r="D20" s="841"/>
      <c r="E20" s="603"/>
      <c r="F20" s="365"/>
      <c r="G20" s="370"/>
      <c r="L20" s="256"/>
    </row>
    <row r="21" spans="1:32">
      <c r="A21" s="317" t="str">
        <f>languages!A431</f>
        <v>Otros (ej. Insumos operacionales)</v>
      </c>
      <c r="B21" s="258" t="s">
        <v>209</v>
      </c>
      <c r="C21" s="667">
        <v>0</v>
      </c>
      <c r="D21" s="841"/>
      <c r="E21" s="603"/>
      <c r="F21" s="365"/>
      <c r="G21" s="370"/>
      <c r="L21" s="256"/>
    </row>
    <row r="22" spans="1:32">
      <c r="A22" s="317" t="str">
        <f>languages!A432</f>
        <v>Costos de Mantención</v>
      </c>
      <c r="B22" s="258" t="s">
        <v>209</v>
      </c>
      <c r="C22" s="668">
        <f>0.02*C5</f>
        <v>1220</v>
      </c>
      <c r="D22" s="841"/>
      <c r="E22" s="603" t="str">
        <f>languages!A445</f>
        <v>approx. 2 % de los costos de inversión</v>
      </c>
      <c r="F22" s="365"/>
      <c r="G22" s="370"/>
      <c r="L22" s="256"/>
    </row>
    <row r="23" spans="1:32" ht="16.5" thickBot="1">
      <c r="A23" s="317" t="str">
        <f>languages!A433</f>
        <v>Suma Costos Variables Anuales</v>
      </c>
      <c r="B23" s="326" t="s">
        <v>209</v>
      </c>
      <c r="C23" s="509">
        <f>SUM(C19:C22)</f>
        <v>1220</v>
      </c>
      <c r="D23" s="865"/>
      <c r="E23" s="604"/>
      <c r="F23" s="605"/>
      <c r="G23" s="606"/>
      <c r="L23" s="256"/>
    </row>
    <row r="24" spans="1:32" ht="16.5" thickBot="1"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</row>
    <row r="25" spans="1:32" s="364" customFormat="1">
      <c r="A25" s="547" t="str">
        <f>languages!A434</f>
        <v>Año</v>
      </c>
      <c r="B25" s="548"/>
      <c r="C25" s="332">
        <f>'Main Input-Output'!B48</f>
        <v>2015</v>
      </c>
      <c r="D25" s="332">
        <f>'Calc A'!D42</f>
        <v>2016</v>
      </c>
      <c r="E25" s="332">
        <f>'Calc A'!E42</f>
        <v>2017</v>
      </c>
      <c r="F25" s="332">
        <f>'Calc A'!F42</f>
        <v>2018</v>
      </c>
      <c r="G25" s="332">
        <f>'Calc A'!G42</f>
        <v>2019</v>
      </c>
      <c r="H25" s="332">
        <f>'Calc A'!H42</f>
        <v>2020</v>
      </c>
      <c r="I25" s="332">
        <f>'Calc A'!I42</f>
        <v>2021</v>
      </c>
      <c r="J25" s="332">
        <f>'Calc A'!J42</f>
        <v>2022</v>
      </c>
      <c r="K25" s="332">
        <f>'Calc A'!K42</f>
        <v>2023</v>
      </c>
      <c r="L25" s="332">
        <f>'Calc A'!L42</f>
        <v>2024</v>
      </c>
      <c r="M25" s="332">
        <f>'Calc A'!M42</f>
        <v>2025</v>
      </c>
      <c r="N25" s="332">
        <f>'Calc A'!N42</f>
        <v>2026</v>
      </c>
      <c r="O25" s="332">
        <f>'Calc A'!O42</f>
        <v>2027</v>
      </c>
      <c r="P25" s="332">
        <f>'Calc A'!P42</f>
        <v>2028</v>
      </c>
      <c r="Q25" s="332">
        <f>'Calc A'!Q42</f>
        <v>2029</v>
      </c>
      <c r="R25" s="332">
        <f>'Calc A'!R42</f>
        <v>2030</v>
      </c>
      <c r="S25" s="332">
        <f>'Calc A'!S42</f>
        <v>2031</v>
      </c>
      <c r="T25" s="332">
        <f>'Calc A'!T42</f>
        <v>2032</v>
      </c>
      <c r="U25" s="332">
        <f>'Calc A'!U42</f>
        <v>2033</v>
      </c>
      <c r="V25" s="332">
        <f>'Calc A'!V42</f>
        <v>2034</v>
      </c>
      <c r="W25" s="332">
        <f>'Calc A'!W42</f>
        <v>2035</v>
      </c>
      <c r="X25" s="332">
        <f>'Calc A'!X42</f>
        <v>2036</v>
      </c>
      <c r="Y25" s="332">
        <f>'Calc A'!Y42</f>
        <v>2037</v>
      </c>
      <c r="Z25" s="332">
        <f>'Calc A'!Z42</f>
        <v>2038</v>
      </c>
      <c r="AA25" s="332">
        <f>'Calc A'!AA42</f>
        <v>2039</v>
      </c>
      <c r="AB25" s="332">
        <f>'Calc A'!AB42</f>
        <v>2040</v>
      </c>
      <c r="AC25" s="332">
        <f>'Calc A'!AC42</f>
        <v>2041</v>
      </c>
      <c r="AD25" s="332">
        <f>'Calc A'!AD42</f>
        <v>2042</v>
      </c>
      <c r="AE25" s="332">
        <f>'Calc A'!AE42</f>
        <v>2043</v>
      </c>
      <c r="AF25" s="549">
        <f>'Calc A'!AF42</f>
        <v>2044</v>
      </c>
    </row>
    <row r="26" spans="1:32" s="365" customFormat="1">
      <c r="A26" s="550" t="str">
        <f>languages!A435</f>
        <v>Periodo</v>
      </c>
      <c r="B26" s="495"/>
      <c r="C26" s="316">
        <v>1</v>
      </c>
      <c r="D26" s="316">
        <f>IF(D25=0,0,C26+1)</f>
        <v>2</v>
      </c>
      <c r="E26" s="316">
        <f t="shared" ref="E26:AF26" si="0">IF(E25=0,0,D26+1)</f>
        <v>3</v>
      </c>
      <c r="F26" s="316">
        <f t="shared" si="0"/>
        <v>4</v>
      </c>
      <c r="G26" s="316">
        <f t="shared" si="0"/>
        <v>5</v>
      </c>
      <c r="H26" s="316">
        <f t="shared" si="0"/>
        <v>6</v>
      </c>
      <c r="I26" s="316">
        <f t="shared" si="0"/>
        <v>7</v>
      </c>
      <c r="J26" s="316">
        <f t="shared" si="0"/>
        <v>8</v>
      </c>
      <c r="K26" s="316">
        <f t="shared" si="0"/>
        <v>9</v>
      </c>
      <c r="L26" s="316">
        <f t="shared" si="0"/>
        <v>10</v>
      </c>
      <c r="M26" s="316">
        <f t="shared" si="0"/>
        <v>11</v>
      </c>
      <c r="N26" s="316">
        <f t="shared" si="0"/>
        <v>12</v>
      </c>
      <c r="O26" s="316">
        <f t="shared" si="0"/>
        <v>13</v>
      </c>
      <c r="P26" s="316">
        <f t="shared" si="0"/>
        <v>14</v>
      </c>
      <c r="Q26" s="316">
        <f t="shared" si="0"/>
        <v>15</v>
      </c>
      <c r="R26" s="316">
        <f t="shared" si="0"/>
        <v>16</v>
      </c>
      <c r="S26" s="316">
        <f t="shared" si="0"/>
        <v>17</v>
      </c>
      <c r="T26" s="316">
        <f t="shared" si="0"/>
        <v>18</v>
      </c>
      <c r="U26" s="316">
        <f t="shared" si="0"/>
        <v>19</v>
      </c>
      <c r="V26" s="316">
        <f t="shared" si="0"/>
        <v>20</v>
      </c>
      <c r="W26" s="316">
        <f t="shared" si="0"/>
        <v>21</v>
      </c>
      <c r="X26" s="316">
        <f t="shared" si="0"/>
        <v>22</v>
      </c>
      <c r="Y26" s="316">
        <f t="shared" si="0"/>
        <v>23</v>
      </c>
      <c r="Z26" s="316">
        <f t="shared" si="0"/>
        <v>24</v>
      </c>
      <c r="AA26" s="316">
        <f t="shared" si="0"/>
        <v>25</v>
      </c>
      <c r="AB26" s="316">
        <f t="shared" si="0"/>
        <v>26</v>
      </c>
      <c r="AC26" s="316">
        <f t="shared" si="0"/>
        <v>27</v>
      </c>
      <c r="AD26" s="316">
        <f t="shared" si="0"/>
        <v>28</v>
      </c>
      <c r="AE26" s="316">
        <f t="shared" si="0"/>
        <v>29</v>
      </c>
      <c r="AF26" s="331">
        <f t="shared" si="0"/>
        <v>30</v>
      </c>
    </row>
    <row r="27" spans="1:32" s="365" customFormat="1" ht="16.5" thickBot="1">
      <c r="A27" s="556" t="str">
        <f>languages!A436</f>
        <v>Producción Electricidad (kWh/a)</v>
      </c>
      <c r="B27" s="560" t="s">
        <v>167</v>
      </c>
      <c r="C27" s="561">
        <f>$C4*$C8</f>
        <v>61320</v>
      </c>
      <c r="D27" s="561">
        <f>IF(D26&gt;$C10,0,C27*(1-$C9))</f>
        <v>61197.36</v>
      </c>
      <c r="E27" s="561">
        <f t="shared" ref="E27:AF27" si="1">IF(E26&gt;$C10,0,D27*(1-$C9))</f>
        <v>61074.965280000004</v>
      </c>
      <c r="F27" s="561">
        <f t="shared" si="1"/>
        <v>60952.815349440003</v>
      </c>
      <c r="G27" s="561">
        <f t="shared" si="1"/>
        <v>60830.909718741124</v>
      </c>
      <c r="H27" s="561">
        <f t="shared" si="1"/>
        <v>60709.247899303642</v>
      </c>
      <c r="I27" s="561">
        <f t="shared" si="1"/>
        <v>60587.829403505035</v>
      </c>
      <c r="J27" s="561">
        <f t="shared" si="1"/>
        <v>60466.653744698022</v>
      </c>
      <c r="K27" s="561">
        <f t="shared" si="1"/>
        <v>60345.720437208627</v>
      </c>
      <c r="L27" s="561">
        <f t="shared" si="1"/>
        <v>60225.028996334207</v>
      </c>
      <c r="M27" s="561">
        <f t="shared" si="1"/>
        <v>60104.578938341539</v>
      </c>
      <c r="N27" s="561">
        <f t="shared" si="1"/>
        <v>59984.369780464855</v>
      </c>
      <c r="O27" s="561">
        <f t="shared" si="1"/>
        <v>59864.401040903926</v>
      </c>
      <c r="P27" s="561">
        <f t="shared" si="1"/>
        <v>59744.672238822117</v>
      </c>
      <c r="Q27" s="561">
        <f t="shared" si="1"/>
        <v>59625.182894344471</v>
      </c>
      <c r="R27" s="561">
        <f t="shared" si="1"/>
        <v>59505.932528555779</v>
      </c>
      <c r="S27" s="561">
        <f t="shared" si="1"/>
        <v>59386.920663498669</v>
      </c>
      <c r="T27" s="561">
        <f t="shared" si="1"/>
        <v>59268.146822171671</v>
      </c>
      <c r="U27" s="561">
        <f t="shared" si="1"/>
        <v>59149.61052852733</v>
      </c>
      <c r="V27" s="561">
        <f t="shared" si="1"/>
        <v>59031.311307470278</v>
      </c>
      <c r="W27" s="561">
        <f t="shared" si="1"/>
        <v>58913.248684855338</v>
      </c>
      <c r="X27" s="561">
        <f t="shared" si="1"/>
        <v>58795.42218748563</v>
      </c>
      <c r="Y27" s="561">
        <f t="shared" si="1"/>
        <v>58677.831343110658</v>
      </c>
      <c r="Z27" s="561">
        <f t="shared" si="1"/>
        <v>58560.475680424439</v>
      </c>
      <c r="AA27" s="561">
        <f t="shared" si="1"/>
        <v>58443.354729063591</v>
      </c>
      <c r="AB27" s="561">
        <f t="shared" si="1"/>
        <v>0</v>
      </c>
      <c r="AC27" s="561">
        <f t="shared" si="1"/>
        <v>0</v>
      </c>
      <c r="AD27" s="561">
        <f t="shared" si="1"/>
        <v>0</v>
      </c>
      <c r="AE27" s="561">
        <f t="shared" si="1"/>
        <v>0</v>
      </c>
      <c r="AF27" s="620">
        <f t="shared" si="1"/>
        <v>0</v>
      </c>
    </row>
    <row r="28" spans="1:32" s="365" customFormat="1" ht="16.5" thickBot="1">
      <c r="A28" s="562"/>
      <c r="B28" s="563"/>
      <c r="C28" s="563"/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  <c r="AA28" s="563"/>
      <c r="AB28" s="563"/>
      <c r="AC28" s="563"/>
      <c r="AD28" s="563"/>
      <c r="AE28" s="563"/>
      <c r="AF28" s="564"/>
    </row>
    <row r="29" spans="1:32" s="365" customFormat="1">
      <c r="A29" s="552" t="str">
        <f>languages!A437</f>
        <v>Ingreso/Ahorro Consumo Propio (US$/a)</v>
      </c>
      <c r="B29" s="553" t="s">
        <v>209</v>
      </c>
      <c r="C29" s="554">
        <f>C27*$C13*$C12</f>
        <v>4905.6000000000004</v>
      </c>
      <c r="D29" s="554">
        <f t="shared" ref="D29:AF29" si="2">D27*$C13*($C12*((1+$C15)^C26))</f>
        <v>5042.662464</v>
      </c>
      <c r="E29" s="554">
        <f t="shared" si="2"/>
        <v>5183.5544532441609</v>
      </c>
      <c r="F29" s="554">
        <f t="shared" si="2"/>
        <v>5328.3829646678023</v>
      </c>
      <c r="G29" s="554">
        <f t="shared" si="2"/>
        <v>5477.25798470062</v>
      </c>
      <c r="H29" s="554">
        <f t="shared" si="2"/>
        <v>5630.2925727931552</v>
      </c>
      <c r="I29" s="554">
        <f t="shared" si="2"/>
        <v>5787.602947276996</v>
      </c>
      <c r="J29" s="554">
        <f t="shared" si="2"/>
        <v>5949.3085736239163</v>
      </c>
      <c r="K29" s="554">
        <f t="shared" si="2"/>
        <v>6115.5322551709678</v>
      </c>
      <c r="L29" s="554">
        <f t="shared" si="2"/>
        <v>6286.4002263804441</v>
      </c>
      <c r="M29" s="554">
        <f t="shared" si="2"/>
        <v>6462.0422487055139</v>
      </c>
      <c r="N29" s="554">
        <f t="shared" si="2"/>
        <v>6642.5917091343454</v>
      </c>
      <c r="O29" s="554">
        <f t="shared" si="2"/>
        <v>6828.1857214875581</v>
      </c>
      <c r="P29" s="554">
        <f t="shared" si="2"/>
        <v>7018.9652305459203</v>
      </c>
      <c r="Q29" s="554">
        <f t="shared" si="2"/>
        <v>7215.0751190873743</v>
      </c>
      <c r="R29" s="554">
        <f t="shared" si="2"/>
        <v>7416.6643179146758</v>
      </c>
      <c r="S29" s="554">
        <f t="shared" si="2"/>
        <v>7623.8859189572104</v>
      </c>
      <c r="T29" s="554">
        <f t="shared" si="2"/>
        <v>7836.8972915328741</v>
      </c>
      <c r="U29" s="554">
        <f t="shared" si="2"/>
        <v>8055.8602018583033</v>
      </c>
      <c r="V29" s="554">
        <f t="shared" si="2"/>
        <v>8280.9409358982248</v>
      </c>
      <c r="W29" s="554">
        <f t="shared" si="2"/>
        <v>8512.3104256472216</v>
      </c>
      <c r="X29" s="554">
        <f t="shared" si="2"/>
        <v>8750.1443789398036</v>
      </c>
      <c r="Y29" s="554">
        <f t="shared" si="2"/>
        <v>8994.6234128873821</v>
      </c>
      <c r="Z29" s="554">
        <f t="shared" si="2"/>
        <v>9245.9331910434576</v>
      </c>
      <c r="AA29" s="554">
        <f t="shared" si="2"/>
        <v>9504.26456440121</v>
      </c>
      <c r="AB29" s="554">
        <f t="shared" si="2"/>
        <v>0</v>
      </c>
      <c r="AC29" s="554">
        <f t="shared" si="2"/>
        <v>0</v>
      </c>
      <c r="AD29" s="554">
        <f t="shared" si="2"/>
        <v>0</v>
      </c>
      <c r="AE29" s="554">
        <f t="shared" si="2"/>
        <v>0</v>
      </c>
      <c r="AF29" s="555">
        <f t="shared" si="2"/>
        <v>0</v>
      </c>
    </row>
    <row r="30" spans="1:32" s="365" customFormat="1">
      <c r="A30" s="317" t="str">
        <f>languages!A438</f>
        <v>Ingreso por Inyección a Red/Venta Electricidad (US$/a)</v>
      </c>
      <c r="B30" s="258" t="s">
        <v>209</v>
      </c>
      <c r="C30" s="316">
        <f>C27*(1-$C13)*$C11</f>
        <v>0</v>
      </c>
      <c r="D30" s="316">
        <f>D27*(1-$C13)*($C11*((1+$C14)^C26))</f>
        <v>0</v>
      </c>
      <c r="E30" s="316">
        <f t="shared" ref="E30:AF30" si="3">E27*(1-$C13)*($C11*((1+$C14)^D26))</f>
        <v>0</v>
      </c>
      <c r="F30" s="316">
        <f t="shared" si="3"/>
        <v>0</v>
      </c>
      <c r="G30" s="316">
        <f t="shared" si="3"/>
        <v>0</v>
      </c>
      <c r="H30" s="316">
        <f t="shared" si="3"/>
        <v>0</v>
      </c>
      <c r="I30" s="316">
        <f t="shared" si="3"/>
        <v>0</v>
      </c>
      <c r="J30" s="316">
        <f t="shared" si="3"/>
        <v>0</v>
      </c>
      <c r="K30" s="316">
        <f t="shared" si="3"/>
        <v>0</v>
      </c>
      <c r="L30" s="316">
        <f t="shared" si="3"/>
        <v>0</v>
      </c>
      <c r="M30" s="316">
        <f t="shared" si="3"/>
        <v>0</v>
      </c>
      <c r="N30" s="316">
        <f t="shared" si="3"/>
        <v>0</v>
      </c>
      <c r="O30" s="316">
        <f t="shared" si="3"/>
        <v>0</v>
      </c>
      <c r="P30" s="316">
        <f t="shared" si="3"/>
        <v>0</v>
      </c>
      <c r="Q30" s="316">
        <f t="shared" si="3"/>
        <v>0</v>
      </c>
      <c r="R30" s="316">
        <f t="shared" si="3"/>
        <v>0</v>
      </c>
      <c r="S30" s="316">
        <f t="shared" si="3"/>
        <v>0</v>
      </c>
      <c r="T30" s="316">
        <f t="shared" si="3"/>
        <v>0</v>
      </c>
      <c r="U30" s="316">
        <f t="shared" si="3"/>
        <v>0</v>
      </c>
      <c r="V30" s="316">
        <f t="shared" si="3"/>
        <v>0</v>
      </c>
      <c r="W30" s="316">
        <f t="shared" si="3"/>
        <v>0</v>
      </c>
      <c r="X30" s="316">
        <f t="shared" si="3"/>
        <v>0</v>
      </c>
      <c r="Y30" s="316">
        <f t="shared" si="3"/>
        <v>0</v>
      </c>
      <c r="Z30" s="316">
        <f t="shared" si="3"/>
        <v>0</v>
      </c>
      <c r="AA30" s="316">
        <f t="shared" si="3"/>
        <v>0</v>
      </c>
      <c r="AB30" s="316">
        <f t="shared" si="3"/>
        <v>0</v>
      </c>
      <c r="AC30" s="316">
        <f t="shared" si="3"/>
        <v>0</v>
      </c>
      <c r="AD30" s="316">
        <f t="shared" si="3"/>
        <v>0</v>
      </c>
      <c r="AE30" s="316">
        <f t="shared" si="3"/>
        <v>0</v>
      </c>
      <c r="AF30" s="316">
        <f t="shared" si="3"/>
        <v>0</v>
      </c>
    </row>
    <row r="31" spans="1:32" s="365" customFormat="1" ht="16.5" thickBot="1">
      <c r="A31" s="556" t="str">
        <f>languages!A439</f>
        <v>Suma Ingresos Equipo/Planta (US$/a)</v>
      </c>
      <c r="B31" s="557" t="s">
        <v>209</v>
      </c>
      <c r="C31" s="558">
        <f>C29+C30</f>
        <v>4905.6000000000004</v>
      </c>
      <c r="D31" s="558">
        <f t="shared" ref="D31:V31" si="4">D29+D30</f>
        <v>5042.662464</v>
      </c>
      <c r="E31" s="558">
        <f t="shared" si="4"/>
        <v>5183.5544532441609</v>
      </c>
      <c r="F31" s="558">
        <f t="shared" si="4"/>
        <v>5328.3829646678023</v>
      </c>
      <c r="G31" s="558">
        <f t="shared" si="4"/>
        <v>5477.25798470062</v>
      </c>
      <c r="H31" s="558">
        <f t="shared" si="4"/>
        <v>5630.2925727931552</v>
      </c>
      <c r="I31" s="558">
        <f t="shared" si="4"/>
        <v>5787.602947276996</v>
      </c>
      <c r="J31" s="558">
        <f t="shared" si="4"/>
        <v>5949.3085736239163</v>
      </c>
      <c r="K31" s="558">
        <f t="shared" si="4"/>
        <v>6115.5322551709678</v>
      </c>
      <c r="L31" s="558">
        <f t="shared" si="4"/>
        <v>6286.4002263804441</v>
      </c>
      <c r="M31" s="558">
        <f t="shared" si="4"/>
        <v>6462.0422487055139</v>
      </c>
      <c r="N31" s="558">
        <f t="shared" si="4"/>
        <v>6642.5917091343454</v>
      </c>
      <c r="O31" s="558">
        <f t="shared" si="4"/>
        <v>6828.1857214875581</v>
      </c>
      <c r="P31" s="558">
        <f t="shared" si="4"/>
        <v>7018.9652305459203</v>
      </c>
      <c r="Q31" s="558">
        <f t="shared" si="4"/>
        <v>7215.0751190873743</v>
      </c>
      <c r="R31" s="558">
        <f t="shared" si="4"/>
        <v>7416.6643179146758</v>
      </c>
      <c r="S31" s="558">
        <f t="shared" si="4"/>
        <v>7623.8859189572104</v>
      </c>
      <c r="T31" s="558">
        <f t="shared" si="4"/>
        <v>7836.8972915328741</v>
      </c>
      <c r="U31" s="558">
        <f t="shared" si="4"/>
        <v>8055.8602018583033</v>
      </c>
      <c r="V31" s="558">
        <f t="shared" si="4"/>
        <v>8280.9409358982248</v>
      </c>
      <c r="W31" s="558">
        <f t="shared" ref="W31:AE31" si="5">W29+W30</f>
        <v>8512.3104256472216</v>
      </c>
      <c r="X31" s="558">
        <f t="shared" si="5"/>
        <v>8750.1443789398036</v>
      </c>
      <c r="Y31" s="558">
        <f t="shared" si="5"/>
        <v>8994.6234128873821</v>
      </c>
      <c r="Z31" s="558">
        <f t="shared" si="5"/>
        <v>9245.9331910434576</v>
      </c>
      <c r="AA31" s="558">
        <f t="shared" si="5"/>
        <v>9504.26456440121</v>
      </c>
      <c r="AB31" s="558">
        <f t="shared" si="5"/>
        <v>0</v>
      </c>
      <c r="AC31" s="558">
        <f t="shared" si="5"/>
        <v>0</v>
      </c>
      <c r="AD31" s="558">
        <f t="shared" si="5"/>
        <v>0</v>
      </c>
      <c r="AE31" s="558">
        <f t="shared" si="5"/>
        <v>0</v>
      </c>
      <c r="AF31" s="559">
        <f>AF29+AF30</f>
        <v>0</v>
      </c>
    </row>
    <row r="32" spans="1:32" s="365" customFormat="1" ht="16.5" thickBot="1">
      <c r="A32" s="562"/>
      <c r="B32" s="563"/>
      <c r="C32" s="563"/>
      <c r="D32" s="563"/>
      <c r="E32" s="563"/>
      <c r="F32" s="563"/>
      <c r="G32" s="563"/>
      <c r="H32" s="563"/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  <c r="AA32" s="563"/>
      <c r="AB32" s="563"/>
      <c r="AC32" s="563"/>
      <c r="AD32" s="563"/>
      <c r="AE32" s="563"/>
      <c r="AF32" s="564"/>
    </row>
    <row r="33" spans="1:32" s="365" customFormat="1">
      <c r="A33" s="552" t="str">
        <f>languages!A440</f>
        <v>Costos de Personal</v>
      </c>
      <c r="B33" s="553" t="s">
        <v>209</v>
      </c>
      <c r="C33" s="554">
        <f>'Cost of operation staff'!E23</f>
        <v>0</v>
      </c>
      <c r="D33" s="554">
        <f>IF(D26&gt;$C10,0,C33*(1+$C16))</f>
        <v>0</v>
      </c>
      <c r="E33" s="554">
        <f t="shared" ref="E33:AF33" si="6">IF(E26&gt;$C10,0,D33*(1+$C16))</f>
        <v>0</v>
      </c>
      <c r="F33" s="554">
        <f t="shared" si="6"/>
        <v>0</v>
      </c>
      <c r="G33" s="554">
        <f t="shared" si="6"/>
        <v>0</v>
      </c>
      <c r="H33" s="554">
        <f t="shared" si="6"/>
        <v>0</v>
      </c>
      <c r="I33" s="554">
        <f t="shared" si="6"/>
        <v>0</v>
      </c>
      <c r="J33" s="554">
        <f t="shared" si="6"/>
        <v>0</v>
      </c>
      <c r="K33" s="554">
        <f t="shared" si="6"/>
        <v>0</v>
      </c>
      <c r="L33" s="554">
        <f t="shared" si="6"/>
        <v>0</v>
      </c>
      <c r="M33" s="554">
        <f t="shared" si="6"/>
        <v>0</v>
      </c>
      <c r="N33" s="554">
        <f t="shared" si="6"/>
        <v>0</v>
      </c>
      <c r="O33" s="554">
        <f t="shared" si="6"/>
        <v>0</v>
      </c>
      <c r="P33" s="554">
        <f t="shared" si="6"/>
        <v>0</v>
      </c>
      <c r="Q33" s="554">
        <f t="shared" si="6"/>
        <v>0</v>
      </c>
      <c r="R33" s="554">
        <f t="shared" si="6"/>
        <v>0</v>
      </c>
      <c r="S33" s="554">
        <f t="shared" si="6"/>
        <v>0</v>
      </c>
      <c r="T33" s="554">
        <f t="shared" si="6"/>
        <v>0</v>
      </c>
      <c r="U33" s="554">
        <f t="shared" si="6"/>
        <v>0</v>
      </c>
      <c r="V33" s="554">
        <f t="shared" si="6"/>
        <v>0</v>
      </c>
      <c r="W33" s="554">
        <f t="shared" si="6"/>
        <v>0</v>
      </c>
      <c r="X33" s="554">
        <f t="shared" si="6"/>
        <v>0</v>
      </c>
      <c r="Y33" s="554">
        <f t="shared" si="6"/>
        <v>0</v>
      </c>
      <c r="Z33" s="554">
        <f t="shared" si="6"/>
        <v>0</v>
      </c>
      <c r="AA33" s="554">
        <f t="shared" si="6"/>
        <v>0</v>
      </c>
      <c r="AB33" s="554">
        <f t="shared" si="6"/>
        <v>0</v>
      </c>
      <c r="AC33" s="554">
        <f t="shared" si="6"/>
        <v>0</v>
      </c>
      <c r="AD33" s="554">
        <f t="shared" si="6"/>
        <v>0</v>
      </c>
      <c r="AE33" s="554">
        <f t="shared" si="6"/>
        <v>0</v>
      </c>
      <c r="AF33" s="555">
        <f t="shared" si="6"/>
        <v>0</v>
      </c>
    </row>
    <row r="34" spans="1:32" s="365" customFormat="1">
      <c r="A34" s="317" t="str">
        <f>languages!A441</f>
        <v>Costos Administrativos</v>
      </c>
      <c r="B34" s="258" t="s">
        <v>209</v>
      </c>
      <c r="C34" s="316">
        <f>'Cost of operation staff'!E36</f>
        <v>0</v>
      </c>
      <c r="D34" s="316">
        <f>IF(D26&gt;$C10,0,C34*(1+$C16))</f>
        <v>0</v>
      </c>
      <c r="E34" s="316">
        <f t="shared" ref="E34:AF34" si="7">IF(E26&gt;$C10,0,D34*(1+$C16))</f>
        <v>0</v>
      </c>
      <c r="F34" s="316">
        <f t="shared" si="7"/>
        <v>0</v>
      </c>
      <c r="G34" s="316">
        <f t="shared" si="7"/>
        <v>0</v>
      </c>
      <c r="H34" s="316">
        <f t="shared" si="7"/>
        <v>0</v>
      </c>
      <c r="I34" s="316">
        <f t="shared" si="7"/>
        <v>0</v>
      </c>
      <c r="J34" s="316">
        <f t="shared" si="7"/>
        <v>0</v>
      </c>
      <c r="K34" s="316">
        <f t="shared" si="7"/>
        <v>0</v>
      </c>
      <c r="L34" s="316">
        <f t="shared" si="7"/>
        <v>0</v>
      </c>
      <c r="M34" s="316">
        <f t="shared" si="7"/>
        <v>0</v>
      </c>
      <c r="N34" s="316">
        <f t="shared" si="7"/>
        <v>0</v>
      </c>
      <c r="O34" s="316">
        <f t="shared" si="7"/>
        <v>0</v>
      </c>
      <c r="P34" s="316">
        <f t="shared" si="7"/>
        <v>0</v>
      </c>
      <c r="Q34" s="316">
        <f t="shared" si="7"/>
        <v>0</v>
      </c>
      <c r="R34" s="316">
        <f t="shared" si="7"/>
        <v>0</v>
      </c>
      <c r="S34" s="316">
        <f t="shared" si="7"/>
        <v>0</v>
      </c>
      <c r="T34" s="316">
        <f t="shared" si="7"/>
        <v>0</v>
      </c>
      <c r="U34" s="316">
        <f t="shared" si="7"/>
        <v>0</v>
      </c>
      <c r="V34" s="316">
        <f t="shared" si="7"/>
        <v>0</v>
      </c>
      <c r="W34" s="316">
        <f t="shared" si="7"/>
        <v>0</v>
      </c>
      <c r="X34" s="316">
        <f t="shared" si="7"/>
        <v>0</v>
      </c>
      <c r="Y34" s="316">
        <f t="shared" si="7"/>
        <v>0</v>
      </c>
      <c r="Z34" s="316">
        <f t="shared" si="7"/>
        <v>0</v>
      </c>
      <c r="AA34" s="316">
        <f t="shared" si="7"/>
        <v>0</v>
      </c>
      <c r="AB34" s="316">
        <f t="shared" si="7"/>
        <v>0</v>
      </c>
      <c r="AC34" s="316">
        <f t="shared" si="7"/>
        <v>0</v>
      </c>
      <c r="AD34" s="316">
        <f t="shared" si="7"/>
        <v>0</v>
      </c>
      <c r="AE34" s="316">
        <f t="shared" si="7"/>
        <v>0</v>
      </c>
      <c r="AF34" s="331">
        <f t="shared" si="7"/>
        <v>0</v>
      </c>
    </row>
    <row r="35" spans="1:32" s="364" customFormat="1">
      <c r="A35" s="319" t="str">
        <f>languages!A442</f>
        <v>Costos Variables (Mantención, insumos)</v>
      </c>
      <c r="B35" s="259" t="s">
        <v>209</v>
      </c>
      <c r="C35" s="329">
        <f>C23</f>
        <v>1220</v>
      </c>
      <c r="D35" s="329">
        <f>IF(D26&gt;$C10,0,C35*(1+$C16))</f>
        <v>1256.6000000000001</v>
      </c>
      <c r="E35" s="329">
        <f t="shared" ref="E35:AF35" si="8">IF(E26&gt;$C10,0,D35*(1+$C16))</f>
        <v>1294.2980000000002</v>
      </c>
      <c r="F35" s="329">
        <f t="shared" si="8"/>
        <v>1333.1269400000003</v>
      </c>
      <c r="G35" s="329">
        <f t="shared" si="8"/>
        <v>1373.1207482000004</v>
      </c>
      <c r="H35" s="329">
        <f t="shared" si="8"/>
        <v>1414.3143706460005</v>
      </c>
      <c r="I35" s="329">
        <f t="shared" si="8"/>
        <v>1456.7438017653806</v>
      </c>
      <c r="J35" s="329">
        <f t="shared" si="8"/>
        <v>1500.4461158183419</v>
      </c>
      <c r="K35" s="329">
        <f t="shared" si="8"/>
        <v>1545.4594992928921</v>
      </c>
      <c r="L35" s="329">
        <f t="shared" si="8"/>
        <v>1591.8232842716789</v>
      </c>
      <c r="M35" s="329">
        <f t="shared" si="8"/>
        <v>1639.5779827998292</v>
      </c>
      <c r="N35" s="329">
        <f t="shared" si="8"/>
        <v>1688.7653222838242</v>
      </c>
      <c r="O35" s="329">
        <f t="shared" si="8"/>
        <v>1739.4282819523389</v>
      </c>
      <c r="P35" s="329">
        <f t="shared" si="8"/>
        <v>1791.611130410909</v>
      </c>
      <c r="Q35" s="329">
        <f t="shared" si="8"/>
        <v>1845.3594643232364</v>
      </c>
      <c r="R35" s="329">
        <f t="shared" si="8"/>
        <v>1900.7202482529335</v>
      </c>
      <c r="S35" s="329">
        <f t="shared" si="8"/>
        <v>1957.7418557005217</v>
      </c>
      <c r="T35" s="329">
        <f t="shared" si="8"/>
        <v>2016.4741113715374</v>
      </c>
      <c r="U35" s="329">
        <f t="shared" si="8"/>
        <v>2076.9683347126838</v>
      </c>
      <c r="V35" s="329">
        <f t="shared" si="8"/>
        <v>2139.2773847540643</v>
      </c>
      <c r="W35" s="329">
        <f t="shared" si="8"/>
        <v>2203.4557062966865</v>
      </c>
      <c r="X35" s="329">
        <f t="shared" si="8"/>
        <v>2269.559377485587</v>
      </c>
      <c r="Y35" s="329">
        <f t="shared" si="8"/>
        <v>2337.6461588101547</v>
      </c>
      <c r="Z35" s="329">
        <f t="shared" si="8"/>
        <v>2407.7755435744593</v>
      </c>
      <c r="AA35" s="329">
        <f t="shared" si="8"/>
        <v>2480.0088098816932</v>
      </c>
      <c r="AB35" s="329">
        <f t="shared" si="8"/>
        <v>0</v>
      </c>
      <c r="AC35" s="329">
        <f t="shared" si="8"/>
        <v>0</v>
      </c>
      <c r="AD35" s="329">
        <f t="shared" si="8"/>
        <v>0</v>
      </c>
      <c r="AE35" s="329">
        <f t="shared" si="8"/>
        <v>0</v>
      </c>
      <c r="AF35" s="621">
        <f t="shared" si="8"/>
        <v>0</v>
      </c>
    </row>
    <row r="36" spans="1:32" s="365" customFormat="1">
      <c r="A36" s="317" t="str">
        <f>languages!A443</f>
        <v>Costos Esporádicos (ej. Cambio Inversor)</v>
      </c>
      <c r="B36" s="258" t="s">
        <v>206</v>
      </c>
      <c r="C36" s="510">
        <v>0</v>
      </c>
      <c r="D36" s="510">
        <v>0</v>
      </c>
      <c r="E36" s="510">
        <v>0</v>
      </c>
      <c r="F36" s="510">
        <v>0</v>
      </c>
      <c r="G36" s="510">
        <v>0</v>
      </c>
      <c r="H36" s="510">
        <v>0</v>
      </c>
      <c r="I36" s="510">
        <v>0</v>
      </c>
      <c r="J36" s="510">
        <v>0</v>
      </c>
      <c r="K36" s="510">
        <v>0</v>
      </c>
      <c r="L36" s="510">
        <v>0</v>
      </c>
      <c r="M36" s="510">
        <v>0</v>
      </c>
      <c r="N36" s="510">
        <v>0</v>
      </c>
      <c r="O36" s="510">
        <v>0</v>
      </c>
      <c r="P36" s="510">
        <v>0</v>
      </c>
      <c r="Q36" s="510">
        <v>0</v>
      </c>
      <c r="R36" s="510">
        <v>0</v>
      </c>
      <c r="S36" s="510">
        <v>0</v>
      </c>
      <c r="T36" s="510">
        <v>0</v>
      </c>
      <c r="U36" s="510">
        <v>0</v>
      </c>
      <c r="V36" s="510">
        <v>0</v>
      </c>
      <c r="W36" s="510">
        <v>0</v>
      </c>
      <c r="X36" s="510">
        <v>0</v>
      </c>
      <c r="Y36" s="510">
        <v>0</v>
      </c>
      <c r="Z36" s="510">
        <v>0</v>
      </c>
      <c r="AA36" s="510">
        <v>0</v>
      </c>
      <c r="AB36" s="510"/>
      <c r="AC36" s="510"/>
      <c r="AD36" s="510"/>
      <c r="AE36" s="510"/>
      <c r="AF36" s="511"/>
    </row>
    <row r="37" spans="1:32" s="365" customFormat="1" ht="16.5" thickBot="1">
      <c r="A37" s="499" t="str">
        <f>languages!A444</f>
        <v xml:space="preserve">Arriendo  </v>
      </c>
      <c r="B37" s="326" t="s">
        <v>209</v>
      </c>
      <c r="C37" s="551">
        <f>C18</f>
        <v>0</v>
      </c>
      <c r="D37" s="551">
        <f>IF(D26&gt;$C10,0,C37*(1+$C16))</f>
        <v>0</v>
      </c>
      <c r="E37" s="551">
        <f t="shared" ref="E37:AF37" si="9">IF(E26&gt;$C10,0,D37*(1+$C16))</f>
        <v>0</v>
      </c>
      <c r="F37" s="551">
        <f t="shared" si="9"/>
        <v>0</v>
      </c>
      <c r="G37" s="551">
        <f t="shared" si="9"/>
        <v>0</v>
      </c>
      <c r="H37" s="551">
        <f t="shared" si="9"/>
        <v>0</v>
      </c>
      <c r="I37" s="551">
        <f t="shared" si="9"/>
        <v>0</v>
      </c>
      <c r="J37" s="551">
        <f t="shared" si="9"/>
        <v>0</v>
      </c>
      <c r="K37" s="551">
        <f t="shared" si="9"/>
        <v>0</v>
      </c>
      <c r="L37" s="551">
        <f t="shared" si="9"/>
        <v>0</v>
      </c>
      <c r="M37" s="551">
        <f t="shared" si="9"/>
        <v>0</v>
      </c>
      <c r="N37" s="551">
        <f t="shared" si="9"/>
        <v>0</v>
      </c>
      <c r="O37" s="551">
        <f t="shared" si="9"/>
        <v>0</v>
      </c>
      <c r="P37" s="551">
        <f t="shared" si="9"/>
        <v>0</v>
      </c>
      <c r="Q37" s="551">
        <f t="shared" si="9"/>
        <v>0</v>
      </c>
      <c r="R37" s="551">
        <f t="shared" si="9"/>
        <v>0</v>
      </c>
      <c r="S37" s="551">
        <f t="shared" si="9"/>
        <v>0</v>
      </c>
      <c r="T37" s="551">
        <f t="shared" si="9"/>
        <v>0</v>
      </c>
      <c r="U37" s="551">
        <f t="shared" si="9"/>
        <v>0</v>
      </c>
      <c r="V37" s="551">
        <f t="shared" si="9"/>
        <v>0</v>
      </c>
      <c r="W37" s="551">
        <f t="shared" si="9"/>
        <v>0</v>
      </c>
      <c r="X37" s="551">
        <f t="shared" si="9"/>
        <v>0</v>
      </c>
      <c r="Y37" s="551">
        <f t="shared" si="9"/>
        <v>0</v>
      </c>
      <c r="Z37" s="551">
        <f t="shared" si="9"/>
        <v>0</v>
      </c>
      <c r="AA37" s="551">
        <f t="shared" si="9"/>
        <v>0</v>
      </c>
      <c r="AB37" s="551">
        <f t="shared" si="9"/>
        <v>0</v>
      </c>
      <c r="AC37" s="551">
        <f t="shared" si="9"/>
        <v>0</v>
      </c>
      <c r="AD37" s="551">
        <f t="shared" si="9"/>
        <v>0</v>
      </c>
      <c r="AE37" s="551">
        <f t="shared" si="9"/>
        <v>0</v>
      </c>
      <c r="AF37" s="622">
        <f t="shared" si="9"/>
        <v>0</v>
      </c>
    </row>
    <row r="38" spans="1:32"/>
    <row r="39" spans="1:32" hidden="1"/>
    <row r="40" spans="1:32" hidden="1"/>
    <row r="41" spans="1:32" hidden="1"/>
    <row r="42" spans="1:32" hidden="1"/>
    <row r="43" spans="1:32" hidden="1"/>
    <row r="44" spans="1:32" hidden="1"/>
    <row r="45" spans="1:32" hidden="1">
      <c r="B45" s="218"/>
    </row>
    <row r="46" spans="1:32" hidden="1">
      <c r="B46" s="218"/>
    </row>
    <row r="47" spans="1:32" hidden="1">
      <c r="B47" s="218"/>
    </row>
    <row r="48" spans="1:32" hidden="1">
      <c r="B48" s="218"/>
    </row>
  </sheetData>
  <sheetProtection sheet="1"/>
  <mergeCells count="7">
    <mergeCell ref="E2:G2"/>
    <mergeCell ref="D2:D23"/>
    <mergeCell ref="A1:G1"/>
    <mergeCell ref="A17:C17"/>
    <mergeCell ref="E17:G17"/>
    <mergeCell ref="E4:G5"/>
    <mergeCell ref="E13:G13"/>
  </mergeCells>
  <pageMargins left="0.70866141732283472" right="0.70866141732283472" top="0.78740157480314965" bottom="0.78740157480314965" header="0.31496062992125984" footer="0.31496062992125984"/>
  <pageSetup paperSize="9" scale="21" orientation="portrait" horizontalDpi="4294967293" r:id="rId1"/>
  <ignoredErrors>
    <ignoredError sqref="C6 C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6" tint="0.39997558519241921"/>
    <pageSetUpPr fitToPage="1"/>
  </sheetPr>
  <dimension ref="A1:CH41"/>
  <sheetViews>
    <sheetView showGridLines="0" zoomScaleNormal="100" workbookViewId="0">
      <selection activeCell="E31" sqref="E31"/>
    </sheetView>
  </sheetViews>
  <sheetFormatPr baseColWidth="10" defaultColWidth="0" defaultRowHeight="15.75" zeroHeight="1"/>
  <cols>
    <col min="1" max="1" width="45.125" customWidth="1"/>
    <col min="2" max="2" width="14.25" customWidth="1"/>
    <col min="3" max="5" width="11" customWidth="1"/>
    <col min="6" max="6" width="10" customWidth="1"/>
    <col min="7" max="7" width="10.875" customWidth="1"/>
    <col min="8" max="8" width="8.875" bestFit="1" customWidth="1"/>
    <col min="9" max="9" width="11" customWidth="1"/>
    <col min="10" max="15" width="8.875" bestFit="1" customWidth="1"/>
    <col min="16" max="33" width="11" customWidth="1"/>
  </cols>
  <sheetData>
    <row r="1" spans="1:7" ht="16.5" thickBot="1"/>
    <row r="2" spans="1:7" ht="21">
      <c r="A2" s="866" t="str">
        <f>languages!A448</f>
        <v>Energía eolica</v>
      </c>
      <c r="B2" s="867"/>
      <c r="C2" s="867"/>
      <c r="D2" s="867"/>
      <c r="E2" s="867"/>
      <c r="F2" s="867"/>
      <c r="G2" s="868"/>
    </row>
    <row r="3" spans="1:7">
      <c r="A3" s="317"/>
      <c r="B3" s="860"/>
      <c r="C3" s="831"/>
      <c r="D3" s="863"/>
      <c r="E3" s="860" t="str">
        <f>languages!A452</f>
        <v>Valor Referencial</v>
      </c>
      <c r="F3" s="861"/>
      <c r="G3" s="862"/>
    </row>
    <row r="4" spans="1:7">
      <c r="A4" s="319" t="str">
        <f>languages!A449</f>
        <v>Datos Base</v>
      </c>
      <c r="B4" s="328" t="str">
        <f>languages!A450</f>
        <v>Unidad</v>
      </c>
      <c r="C4" s="328" t="str">
        <f>languages!A451</f>
        <v>Valor</v>
      </c>
      <c r="D4" s="841"/>
      <c r="E4" s="328" t="str">
        <f>languages!A453</f>
        <v>Alto</v>
      </c>
      <c r="F4" s="328" t="str">
        <f>languages!A454</f>
        <v>Medio</v>
      </c>
      <c r="G4" s="366" t="str">
        <f>languages!A455</f>
        <v>Bajo</v>
      </c>
    </row>
    <row r="5" spans="1:7">
      <c r="A5" s="317" t="str">
        <f>languages!A456</f>
        <v>Capacidad Instalada</v>
      </c>
      <c r="B5" s="258" t="s">
        <v>199</v>
      </c>
      <c r="C5" s="320">
        <v>0</v>
      </c>
      <c r="D5" s="841"/>
      <c r="E5" s="874"/>
      <c r="F5" s="875"/>
      <c r="G5" s="876"/>
    </row>
    <row r="6" spans="1:7">
      <c r="A6" s="317" t="str">
        <f>languages!A457</f>
        <v>CAPEX</v>
      </c>
      <c r="B6" s="258" t="s">
        <v>206</v>
      </c>
      <c r="C6" s="320">
        <v>0</v>
      </c>
      <c r="D6" s="841"/>
      <c r="E6" s="877"/>
      <c r="F6" s="872"/>
      <c r="G6" s="873"/>
    </row>
    <row r="7" spans="1:7">
      <c r="A7" s="317" t="str">
        <f>languages!A458</f>
        <v>Costos de Inversión Específicos</v>
      </c>
      <c r="B7" s="258" t="s">
        <v>242</v>
      </c>
      <c r="C7" s="321">
        <f>IF(C5=0,0,IF(C6=0,0,C6/C5))</f>
        <v>0</v>
      </c>
      <c r="D7" s="841"/>
      <c r="E7" s="316">
        <v>1700</v>
      </c>
      <c r="F7" s="316">
        <v>1000</v>
      </c>
      <c r="G7" s="331">
        <v>900</v>
      </c>
    </row>
    <row r="8" spans="1:7">
      <c r="A8" s="317" t="str">
        <f>languages!A459</f>
        <v>Factor de Capacidad</v>
      </c>
      <c r="B8" s="258" t="s">
        <v>241</v>
      </c>
      <c r="C8" s="663">
        <v>0</v>
      </c>
      <c r="D8" s="841"/>
      <c r="E8" s="325">
        <v>0.35</v>
      </c>
      <c r="F8" s="325">
        <v>0.3</v>
      </c>
      <c r="G8" s="618">
        <v>0.27</v>
      </c>
    </row>
    <row r="9" spans="1:7">
      <c r="A9" s="317" t="str">
        <f>languages!A460</f>
        <v>Horas Funcionamiento (Factor Capacidad x 8.760h)</v>
      </c>
      <c r="B9" s="258" t="s">
        <v>240</v>
      </c>
      <c r="C9" s="321">
        <f>C8*10000</f>
        <v>0</v>
      </c>
      <c r="D9" s="841"/>
      <c r="E9" s="258">
        <f>E8*8760</f>
        <v>3066</v>
      </c>
      <c r="F9" s="258">
        <f>F8*8760</f>
        <v>2628</v>
      </c>
      <c r="G9" s="318">
        <f>G8*8760</f>
        <v>2365.2000000000003</v>
      </c>
    </row>
    <row r="10" spans="1:7">
      <c r="A10" s="317" t="str">
        <f>languages!A461</f>
        <v>Degradación Anual de Producción</v>
      </c>
      <c r="B10" s="258" t="s">
        <v>243</v>
      </c>
      <c r="C10" s="663">
        <v>0</v>
      </c>
      <c r="D10" s="841"/>
      <c r="E10" s="323">
        <v>5.0000000000000001E-3</v>
      </c>
      <c r="F10" s="323">
        <v>3.0000000000000001E-3</v>
      </c>
      <c r="G10" s="324">
        <v>2E-3</v>
      </c>
    </row>
    <row r="11" spans="1:7">
      <c r="A11" s="317" t="str">
        <f>languages!A462</f>
        <v>Vida Útil</v>
      </c>
      <c r="B11" s="258" t="s">
        <v>441</v>
      </c>
      <c r="C11" s="320">
        <v>0</v>
      </c>
      <c r="D11" s="841"/>
      <c r="E11" s="258">
        <v>25</v>
      </c>
      <c r="F11" s="258">
        <v>20</v>
      </c>
      <c r="G11" s="318">
        <v>15</v>
      </c>
    </row>
    <row r="12" spans="1:7">
      <c r="A12" s="317" t="str">
        <f>languages!A463</f>
        <v>Precio Venta Electricidad</v>
      </c>
      <c r="B12" s="258" t="s">
        <v>207</v>
      </c>
      <c r="C12" s="322">
        <v>0</v>
      </c>
      <c r="D12" s="841"/>
      <c r="E12" s="258">
        <v>0.12</v>
      </c>
      <c r="F12" s="617">
        <v>0.11</v>
      </c>
      <c r="G12" s="619">
        <v>0.1</v>
      </c>
    </row>
    <row r="13" spans="1:7">
      <c r="A13" s="317" t="str">
        <f>languages!A464</f>
        <v>Precio de Compra</v>
      </c>
      <c r="B13" s="258" t="s">
        <v>207</v>
      </c>
      <c r="C13" s="322">
        <v>0</v>
      </c>
      <c r="D13" s="841"/>
      <c r="E13" s="258">
        <v>0.18</v>
      </c>
      <c r="F13" s="258">
        <v>0.14000000000000001</v>
      </c>
      <c r="G13" s="318">
        <v>0.12</v>
      </c>
    </row>
    <row r="14" spans="1:7" ht="16.5" thickBot="1">
      <c r="A14" s="317" t="str">
        <f>languages!A465</f>
        <v>% Electricidad Uso Propio</v>
      </c>
      <c r="B14" s="258" t="s">
        <v>241</v>
      </c>
      <c r="C14" s="663">
        <v>0</v>
      </c>
      <c r="D14" s="841"/>
      <c r="E14" s="878"/>
      <c r="F14" s="875"/>
      <c r="G14" s="876"/>
    </row>
    <row r="15" spans="1:7">
      <c r="A15" s="317" t="str">
        <f>languages!A466</f>
        <v>Incremento Anual Precio Venta %</v>
      </c>
      <c r="B15" s="258" t="s">
        <v>243</v>
      </c>
      <c r="C15" s="663">
        <v>0</v>
      </c>
      <c r="D15" s="864"/>
      <c r="E15" s="333">
        <v>0.03</v>
      </c>
      <c r="F15" s="334">
        <v>0.01</v>
      </c>
      <c r="G15" s="335">
        <v>0</v>
      </c>
    </row>
    <row r="16" spans="1:7">
      <c r="A16" s="317" t="str">
        <f>languages!A467</f>
        <v>Incremento Anual Precio Compra %</v>
      </c>
      <c r="B16" s="258" t="s">
        <v>243</v>
      </c>
      <c r="C16" s="663">
        <v>0</v>
      </c>
      <c r="D16" s="864"/>
      <c r="E16" s="336">
        <v>0.05</v>
      </c>
      <c r="F16" s="337">
        <v>1.4999999999999999E-2</v>
      </c>
      <c r="G16" s="338">
        <v>0</v>
      </c>
    </row>
    <row r="17" spans="1:86" ht="16.5" thickBot="1">
      <c r="A17" s="317" t="str">
        <f>languages!A468</f>
        <v>Tasa de Inflación (Incremento Costos Mantención)</v>
      </c>
      <c r="B17" s="258" t="s">
        <v>243</v>
      </c>
      <c r="C17" s="665">
        <f>'Main Input-Output'!B40</f>
        <v>0.03</v>
      </c>
      <c r="D17" s="864"/>
      <c r="E17" s="339">
        <v>0.1</v>
      </c>
      <c r="F17" s="340">
        <v>0.04</v>
      </c>
      <c r="G17" s="341">
        <v>0.01</v>
      </c>
    </row>
    <row r="18" spans="1:86">
      <c r="A18" s="869"/>
      <c r="B18" s="870"/>
      <c r="C18" s="831"/>
      <c r="D18" s="841"/>
      <c r="E18" s="871"/>
      <c r="F18" s="872"/>
      <c r="G18" s="873"/>
    </row>
    <row r="19" spans="1:86">
      <c r="A19" s="317" t="str">
        <f>languages!A469</f>
        <v>Arriendo Anual</v>
      </c>
      <c r="B19" s="258" t="s">
        <v>209</v>
      </c>
      <c r="C19" s="512">
        <v>0</v>
      </c>
      <c r="D19" s="841"/>
      <c r="E19" s="600"/>
      <c r="F19" s="601"/>
      <c r="G19" s="602"/>
      <c r="L19" s="256"/>
    </row>
    <row r="20" spans="1:86">
      <c r="A20" s="317" t="str">
        <f>languages!A470</f>
        <v>Seguros</v>
      </c>
      <c r="B20" s="258" t="s">
        <v>209</v>
      </c>
      <c r="C20" s="512">
        <v>0</v>
      </c>
      <c r="D20" s="841"/>
      <c r="E20" s="603"/>
      <c r="F20" s="365"/>
      <c r="G20" s="370"/>
      <c r="L20" s="256"/>
    </row>
    <row r="21" spans="1:86">
      <c r="A21" s="317" t="str">
        <f>languages!A471</f>
        <v>Contador</v>
      </c>
      <c r="B21" s="258" t="s">
        <v>209</v>
      </c>
      <c r="C21" s="512">
        <v>0</v>
      </c>
      <c r="D21" s="841"/>
      <c r="E21" s="603"/>
      <c r="F21" s="365"/>
      <c r="G21" s="370"/>
      <c r="L21" s="256"/>
    </row>
    <row r="22" spans="1:86">
      <c r="A22" s="317" t="str">
        <f>languages!A472</f>
        <v>Otros (ej. Insumos operacionales)</v>
      </c>
      <c r="B22" s="258" t="s">
        <v>209</v>
      </c>
      <c r="C22" s="512">
        <v>0</v>
      </c>
      <c r="D22" s="841"/>
      <c r="E22" s="603"/>
      <c r="F22" s="365"/>
      <c r="G22" s="370"/>
      <c r="L22" s="256"/>
    </row>
    <row r="23" spans="1:86">
      <c r="A23" s="317" t="str">
        <f>languages!A473</f>
        <v>Costos de Mantención</v>
      </c>
      <c r="B23" s="258" t="s">
        <v>209</v>
      </c>
      <c r="C23" s="513">
        <v>0</v>
      </c>
      <c r="D23" s="841"/>
      <c r="E23" s="603" t="str">
        <f>languages!A445</f>
        <v>approx. 2 % de los costos de inversión</v>
      </c>
      <c r="F23" s="365"/>
      <c r="G23" s="370"/>
      <c r="L23" s="256"/>
    </row>
    <row r="24" spans="1:86" ht="16.5" thickBot="1">
      <c r="A24" s="317" t="str">
        <f>languages!A474</f>
        <v>Suma Costos Variables Anuales</v>
      </c>
      <c r="B24" s="326" t="s">
        <v>209</v>
      </c>
      <c r="C24" s="327">
        <f>SUM(C20:C23)</f>
        <v>0</v>
      </c>
      <c r="D24" s="865"/>
      <c r="E24" s="604"/>
      <c r="F24" s="605"/>
      <c r="G24" s="606"/>
      <c r="L24" s="256"/>
    </row>
    <row r="25" spans="1:86" ht="16.5" thickBot="1"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</row>
    <row r="26" spans="1:86">
      <c r="A26" s="547" t="str">
        <f>languages!A475</f>
        <v>Año</v>
      </c>
      <c r="B26" s="394"/>
      <c r="C26" s="332">
        <f>'Main Input-Output'!B48</f>
        <v>2015</v>
      </c>
      <c r="D26" s="332">
        <f>C26+1</f>
        <v>2016</v>
      </c>
      <c r="E26" s="332">
        <f t="shared" ref="E26:AF26" si="0">D26+1</f>
        <v>2017</v>
      </c>
      <c r="F26" s="332">
        <f t="shared" si="0"/>
        <v>2018</v>
      </c>
      <c r="G26" s="332">
        <f t="shared" si="0"/>
        <v>2019</v>
      </c>
      <c r="H26" s="332">
        <f t="shared" si="0"/>
        <v>2020</v>
      </c>
      <c r="I26" s="332">
        <f t="shared" si="0"/>
        <v>2021</v>
      </c>
      <c r="J26" s="332">
        <f t="shared" si="0"/>
        <v>2022</v>
      </c>
      <c r="K26" s="332">
        <f t="shared" si="0"/>
        <v>2023</v>
      </c>
      <c r="L26" s="332">
        <f t="shared" si="0"/>
        <v>2024</v>
      </c>
      <c r="M26" s="332">
        <f t="shared" si="0"/>
        <v>2025</v>
      </c>
      <c r="N26" s="332">
        <f t="shared" si="0"/>
        <v>2026</v>
      </c>
      <c r="O26" s="332">
        <f t="shared" si="0"/>
        <v>2027</v>
      </c>
      <c r="P26" s="332">
        <f t="shared" si="0"/>
        <v>2028</v>
      </c>
      <c r="Q26" s="332">
        <f t="shared" si="0"/>
        <v>2029</v>
      </c>
      <c r="R26" s="332">
        <f t="shared" si="0"/>
        <v>2030</v>
      </c>
      <c r="S26" s="332">
        <f t="shared" si="0"/>
        <v>2031</v>
      </c>
      <c r="T26" s="332">
        <f t="shared" si="0"/>
        <v>2032</v>
      </c>
      <c r="U26" s="332">
        <f t="shared" si="0"/>
        <v>2033</v>
      </c>
      <c r="V26" s="332">
        <f t="shared" si="0"/>
        <v>2034</v>
      </c>
      <c r="W26" s="332">
        <f t="shared" si="0"/>
        <v>2035</v>
      </c>
      <c r="X26" s="332">
        <f t="shared" si="0"/>
        <v>2036</v>
      </c>
      <c r="Y26" s="332">
        <f t="shared" si="0"/>
        <v>2037</v>
      </c>
      <c r="Z26" s="332">
        <f t="shared" si="0"/>
        <v>2038</v>
      </c>
      <c r="AA26" s="332">
        <f t="shared" si="0"/>
        <v>2039</v>
      </c>
      <c r="AB26" s="332">
        <f t="shared" si="0"/>
        <v>2040</v>
      </c>
      <c r="AC26" s="332">
        <f t="shared" si="0"/>
        <v>2041</v>
      </c>
      <c r="AD26" s="332">
        <f t="shared" si="0"/>
        <v>2042</v>
      </c>
      <c r="AE26" s="332">
        <f t="shared" si="0"/>
        <v>2043</v>
      </c>
      <c r="AF26" s="549">
        <f t="shared" si="0"/>
        <v>2044</v>
      </c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365"/>
      <c r="AU26" s="365"/>
      <c r="AV26" s="365"/>
      <c r="AW26" s="365"/>
      <c r="AX26" s="365"/>
      <c r="AY26" s="365"/>
      <c r="AZ26" s="365"/>
      <c r="BA26" s="365"/>
      <c r="BB26" s="365"/>
      <c r="BC26" s="365"/>
      <c r="BD26" s="365"/>
      <c r="BE26" s="365"/>
      <c r="BF26" s="365"/>
      <c r="BG26" s="365"/>
      <c r="BH26" s="365"/>
      <c r="BI26" s="365"/>
      <c r="BJ26" s="365"/>
      <c r="BK26" s="365"/>
      <c r="BL26" s="365"/>
      <c r="BM26" s="365"/>
      <c r="BN26" s="365"/>
      <c r="BO26" s="365"/>
      <c r="BP26" s="365"/>
      <c r="BQ26" s="365"/>
      <c r="BR26" s="365"/>
      <c r="BS26" s="365"/>
      <c r="BT26" s="365"/>
      <c r="BU26" s="365"/>
      <c r="BV26" s="365"/>
      <c r="BW26" s="365"/>
      <c r="BX26" s="365"/>
      <c r="BY26" s="365"/>
      <c r="BZ26" s="365"/>
      <c r="CA26" s="365"/>
      <c r="CB26" s="365"/>
      <c r="CC26" s="365"/>
      <c r="CD26" s="365"/>
      <c r="CE26" s="365"/>
      <c r="CF26" s="365"/>
      <c r="CG26" s="365"/>
      <c r="CH26" s="365"/>
    </row>
    <row r="27" spans="1:86">
      <c r="A27" s="400" t="str">
        <f>languages!A476</f>
        <v>Periodo</v>
      </c>
      <c r="B27" s="395"/>
      <c r="C27" s="316">
        <v>1</v>
      </c>
      <c r="D27" s="316">
        <f>IF(D26=0,0,C27+1)</f>
        <v>2</v>
      </c>
      <c r="E27" s="316">
        <f t="shared" ref="E27:AF27" si="1">IF(E26=0,0,D27+1)</f>
        <v>3</v>
      </c>
      <c r="F27" s="316">
        <f t="shared" si="1"/>
        <v>4</v>
      </c>
      <c r="G27" s="316">
        <f t="shared" si="1"/>
        <v>5</v>
      </c>
      <c r="H27" s="316">
        <f t="shared" si="1"/>
        <v>6</v>
      </c>
      <c r="I27" s="316">
        <f t="shared" si="1"/>
        <v>7</v>
      </c>
      <c r="J27" s="316">
        <f t="shared" si="1"/>
        <v>8</v>
      </c>
      <c r="K27" s="316">
        <f t="shared" si="1"/>
        <v>9</v>
      </c>
      <c r="L27" s="316">
        <f t="shared" si="1"/>
        <v>10</v>
      </c>
      <c r="M27" s="316">
        <f t="shared" si="1"/>
        <v>11</v>
      </c>
      <c r="N27" s="316">
        <f t="shared" si="1"/>
        <v>12</v>
      </c>
      <c r="O27" s="316">
        <f t="shared" si="1"/>
        <v>13</v>
      </c>
      <c r="P27" s="316">
        <f t="shared" si="1"/>
        <v>14</v>
      </c>
      <c r="Q27" s="316">
        <f t="shared" si="1"/>
        <v>15</v>
      </c>
      <c r="R27" s="316">
        <f t="shared" si="1"/>
        <v>16</v>
      </c>
      <c r="S27" s="316">
        <f t="shared" si="1"/>
        <v>17</v>
      </c>
      <c r="T27" s="316">
        <f t="shared" si="1"/>
        <v>18</v>
      </c>
      <c r="U27" s="316">
        <f t="shared" si="1"/>
        <v>19</v>
      </c>
      <c r="V27" s="316">
        <f t="shared" si="1"/>
        <v>20</v>
      </c>
      <c r="W27" s="316">
        <f t="shared" si="1"/>
        <v>21</v>
      </c>
      <c r="X27" s="316">
        <f t="shared" si="1"/>
        <v>22</v>
      </c>
      <c r="Y27" s="316">
        <f t="shared" si="1"/>
        <v>23</v>
      </c>
      <c r="Z27" s="316">
        <f t="shared" si="1"/>
        <v>24</v>
      </c>
      <c r="AA27" s="316">
        <f t="shared" si="1"/>
        <v>25</v>
      </c>
      <c r="AB27" s="316">
        <f t="shared" si="1"/>
        <v>26</v>
      </c>
      <c r="AC27" s="316">
        <f t="shared" si="1"/>
        <v>27</v>
      </c>
      <c r="AD27" s="316">
        <f t="shared" si="1"/>
        <v>28</v>
      </c>
      <c r="AE27" s="316">
        <f t="shared" si="1"/>
        <v>29</v>
      </c>
      <c r="AF27" s="331">
        <f t="shared" si="1"/>
        <v>30</v>
      </c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</row>
    <row r="28" spans="1:86">
      <c r="A28" s="319" t="str">
        <f>languages!A477</f>
        <v>Producción Electricidad (kWh/a)</v>
      </c>
      <c r="B28" s="623" t="s">
        <v>167</v>
      </c>
      <c r="C28" s="374">
        <f>$C5*$C9</f>
        <v>0</v>
      </c>
      <c r="D28" s="330">
        <f>IF(D27&gt;$C11,0,C28*(1-$C10))</f>
        <v>0</v>
      </c>
      <c r="E28" s="330">
        <f t="shared" ref="E28:AF28" si="2">IF(E27&gt;$C11,0,D28*(1-$C10))</f>
        <v>0</v>
      </c>
      <c r="F28" s="330">
        <f t="shared" si="2"/>
        <v>0</v>
      </c>
      <c r="G28" s="330">
        <f t="shared" si="2"/>
        <v>0</v>
      </c>
      <c r="H28" s="330">
        <f t="shared" si="2"/>
        <v>0</v>
      </c>
      <c r="I28" s="330">
        <f t="shared" si="2"/>
        <v>0</v>
      </c>
      <c r="J28" s="330">
        <f t="shared" si="2"/>
        <v>0</v>
      </c>
      <c r="K28" s="330">
        <f t="shared" si="2"/>
        <v>0</v>
      </c>
      <c r="L28" s="330">
        <f t="shared" si="2"/>
        <v>0</v>
      </c>
      <c r="M28" s="330">
        <f t="shared" si="2"/>
        <v>0</v>
      </c>
      <c r="N28" s="330">
        <f t="shared" si="2"/>
        <v>0</v>
      </c>
      <c r="O28" s="330">
        <f t="shared" si="2"/>
        <v>0</v>
      </c>
      <c r="P28" s="330">
        <f t="shared" si="2"/>
        <v>0</v>
      </c>
      <c r="Q28" s="330">
        <f t="shared" si="2"/>
        <v>0</v>
      </c>
      <c r="R28" s="330">
        <f t="shared" si="2"/>
        <v>0</v>
      </c>
      <c r="S28" s="330">
        <f t="shared" si="2"/>
        <v>0</v>
      </c>
      <c r="T28" s="330">
        <f t="shared" si="2"/>
        <v>0</v>
      </c>
      <c r="U28" s="330">
        <f t="shared" si="2"/>
        <v>0</v>
      </c>
      <c r="V28" s="330">
        <f t="shared" si="2"/>
        <v>0</v>
      </c>
      <c r="W28" s="330">
        <f t="shared" si="2"/>
        <v>0</v>
      </c>
      <c r="X28" s="330">
        <f t="shared" si="2"/>
        <v>0</v>
      </c>
      <c r="Y28" s="330">
        <f t="shared" si="2"/>
        <v>0</v>
      </c>
      <c r="Z28" s="330">
        <f t="shared" si="2"/>
        <v>0</v>
      </c>
      <c r="AA28" s="330">
        <f t="shared" si="2"/>
        <v>0</v>
      </c>
      <c r="AB28" s="330">
        <f t="shared" si="2"/>
        <v>0</v>
      </c>
      <c r="AC28" s="330">
        <f t="shared" si="2"/>
        <v>0</v>
      </c>
      <c r="AD28" s="330">
        <f t="shared" si="2"/>
        <v>0</v>
      </c>
      <c r="AE28" s="330">
        <f t="shared" si="2"/>
        <v>0</v>
      </c>
      <c r="AF28" s="624">
        <f t="shared" si="2"/>
        <v>0</v>
      </c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</row>
    <row r="29" spans="1:86" s="371" customFormat="1">
      <c r="A29" s="625"/>
      <c r="AF29" s="626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365"/>
      <c r="BX29" s="365"/>
      <c r="BY29" s="365"/>
      <c r="BZ29" s="365"/>
      <c r="CA29" s="365"/>
      <c r="CB29" s="365"/>
      <c r="CC29" s="365"/>
      <c r="CD29" s="365"/>
      <c r="CE29" s="365"/>
      <c r="CF29" s="365"/>
      <c r="CG29" s="365"/>
      <c r="CH29" s="365"/>
    </row>
    <row r="30" spans="1:86">
      <c r="A30" s="317" t="str">
        <f>languages!A478</f>
        <v>Ingreso/Ahorro Consumo Propio (US$/a)</v>
      </c>
      <c r="B30" s="258" t="s">
        <v>209</v>
      </c>
      <c r="C30" s="316">
        <f>C28*$C14*$C13</f>
        <v>0</v>
      </c>
      <c r="D30" s="316">
        <f t="shared" ref="D30:AF30" si="3">D28*$C14*($C13*((1+$C16)^C27))</f>
        <v>0</v>
      </c>
      <c r="E30" s="316">
        <f t="shared" si="3"/>
        <v>0</v>
      </c>
      <c r="F30" s="316">
        <f t="shared" si="3"/>
        <v>0</v>
      </c>
      <c r="G30" s="316">
        <f t="shared" si="3"/>
        <v>0</v>
      </c>
      <c r="H30" s="316">
        <f t="shared" si="3"/>
        <v>0</v>
      </c>
      <c r="I30" s="316">
        <f t="shared" si="3"/>
        <v>0</v>
      </c>
      <c r="J30" s="316">
        <f t="shared" si="3"/>
        <v>0</v>
      </c>
      <c r="K30" s="316">
        <f t="shared" si="3"/>
        <v>0</v>
      </c>
      <c r="L30" s="316">
        <f t="shared" si="3"/>
        <v>0</v>
      </c>
      <c r="M30" s="316">
        <f t="shared" si="3"/>
        <v>0</v>
      </c>
      <c r="N30" s="316">
        <f t="shared" si="3"/>
        <v>0</v>
      </c>
      <c r="O30" s="316">
        <f t="shared" si="3"/>
        <v>0</v>
      </c>
      <c r="P30" s="316">
        <f t="shared" si="3"/>
        <v>0</v>
      </c>
      <c r="Q30" s="316">
        <f t="shared" si="3"/>
        <v>0</v>
      </c>
      <c r="R30" s="316">
        <f t="shared" si="3"/>
        <v>0</v>
      </c>
      <c r="S30" s="316">
        <f t="shared" si="3"/>
        <v>0</v>
      </c>
      <c r="T30" s="316">
        <f t="shared" si="3"/>
        <v>0</v>
      </c>
      <c r="U30" s="316">
        <f t="shared" si="3"/>
        <v>0</v>
      </c>
      <c r="V30" s="316">
        <f t="shared" si="3"/>
        <v>0</v>
      </c>
      <c r="W30" s="316">
        <f t="shared" si="3"/>
        <v>0</v>
      </c>
      <c r="X30" s="316">
        <f t="shared" si="3"/>
        <v>0</v>
      </c>
      <c r="Y30" s="316">
        <f t="shared" si="3"/>
        <v>0</v>
      </c>
      <c r="Z30" s="316">
        <f t="shared" si="3"/>
        <v>0</v>
      </c>
      <c r="AA30" s="316">
        <f t="shared" si="3"/>
        <v>0</v>
      </c>
      <c r="AB30" s="316">
        <f t="shared" si="3"/>
        <v>0</v>
      </c>
      <c r="AC30" s="316">
        <f t="shared" si="3"/>
        <v>0</v>
      </c>
      <c r="AD30" s="316">
        <f t="shared" si="3"/>
        <v>0</v>
      </c>
      <c r="AE30" s="316">
        <f t="shared" si="3"/>
        <v>0</v>
      </c>
      <c r="AF30" s="331">
        <f t="shared" si="3"/>
        <v>0</v>
      </c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5"/>
      <c r="AW30" s="365"/>
      <c r="AX30" s="365"/>
      <c r="AY30" s="365"/>
      <c r="AZ30" s="365"/>
      <c r="BA30" s="365"/>
      <c r="BB30" s="365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5"/>
      <c r="BR30" s="365"/>
      <c r="BS30" s="365"/>
      <c r="BT30" s="365"/>
      <c r="BU30" s="365"/>
      <c r="BV30" s="365"/>
      <c r="BW30" s="365"/>
      <c r="BX30" s="365"/>
      <c r="BY30" s="365"/>
      <c r="BZ30" s="365"/>
      <c r="CA30" s="365"/>
      <c r="CB30" s="365"/>
      <c r="CC30" s="365"/>
      <c r="CD30" s="365"/>
      <c r="CE30" s="365"/>
      <c r="CF30" s="365"/>
      <c r="CG30" s="365"/>
      <c r="CH30" s="365"/>
    </row>
    <row r="31" spans="1:86">
      <c r="A31" s="317" t="str">
        <f>languages!A479</f>
        <v>Ingreso por Inyección a Red/Venta Electricidad (US$/a)</v>
      </c>
      <c r="B31" s="258" t="s">
        <v>209</v>
      </c>
      <c r="C31" s="316">
        <f>C28*(1-$C14)*$C12</f>
        <v>0</v>
      </c>
      <c r="D31" s="316">
        <f t="shared" ref="D31:AF31" si="4">D28*(1-$C14)*($C12*((1+$C15)^C27))</f>
        <v>0</v>
      </c>
      <c r="E31" s="316">
        <f t="shared" si="4"/>
        <v>0</v>
      </c>
      <c r="F31" s="316">
        <f t="shared" si="4"/>
        <v>0</v>
      </c>
      <c r="G31" s="316">
        <f t="shared" si="4"/>
        <v>0</v>
      </c>
      <c r="H31" s="316">
        <f t="shared" si="4"/>
        <v>0</v>
      </c>
      <c r="I31" s="316">
        <f t="shared" si="4"/>
        <v>0</v>
      </c>
      <c r="J31" s="316">
        <f t="shared" si="4"/>
        <v>0</v>
      </c>
      <c r="K31" s="316">
        <f t="shared" si="4"/>
        <v>0</v>
      </c>
      <c r="L31" s="316">
        <f t="shared" si="4"/>
        <v>0</v>
      </c>
      <c r="M31" s="316">
        <f t="shared" si="4"/>
        <v>0</v>
      </c>
      <c r="N31" s="316">
        <f t="shared" si="4"/>
        <v>0</v>
      </c>
      <c r="O31" s="316">
        <f t="shared" si="4"/>
        <v>0</v>
      </c>
      <c r="P31" s="316">
        <f t="shared" si="4"/>
        <v>0</v>
      </c>
      <c r="Q31" s="316">
        <f t="shared" si="4"/>
        <v>0</v>
      </c>
      <c r="R31" s="316">
        <f t="shared" si="4"/>
        <v>0</v>
      </c>
      <c r="S31" s="316">
        <f t="shared" si="4"/>
        <v>0</v>
      </c>
      <c r="T31" s="316">
        <f t="shared" si="4"/>
        <v>0</v>
      </c>
      <c r="U31" s="316">
        <f t="shared" si="4"/>
        <v>0</v>
      </c>
      <c r="V31" s="316">
        <f t="shared" si="4"/>
        <v>0</v>
      </c>
      <c r="W31" s="316">
        <f t="shared" si="4"/>
        <v>0</v>
      </c>
      <c r="X31" s="316">
        <f t="shared" si="4"/>
        <v>0</v>
      </c>
      <c r="Y31" s="316">
        <f t="shared" si="4"/>
        <v>0</v>
      </c>
      <c r="Z31" s="316">
        <f t="shared" si="4"/>
        <v>0</v>
      </c>
      <c r="AA31" s="316">
        <f t="shared" si="4"/>
        <v>0</v>
      </c>
      <c r="AB31" s="316">
        <f t="shared" si="4"/>
        <v>0</v>
      </c>
      <c r="AC31" s="316">
        <f t="shared" si="4"/>
        <v>0</v>
      </c>
      <c r="AD31" s="316">
        <f t="shared" si="4"/>
        <v>0</v>
      </c>
      <c r="AE31" s="316">
        <f t="shared" si="4"/>
        <v>0</v>
      </c>
      <c r="AF31" s="331">
        <f t="shared" si="4"/>
        <v>0</v>
      </c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5"/>
      <c r="BU31" s="365"/>
      <c r="BV31" s="365"/>
      <c r="BW31" s="365"/>
      <c r="BX31" s="365"/>
      <c r="BY31" s="365"/>
      <c r="BZ31" s="365"/>
      <c r="CA31" s="365"/>
      <c r="CB31" s="365"/>
      <c r="CC31" s="365"/>
      <c r="CD31" s="365"/>
      <c r="CE31" s="365"/>
      <c r="CF31" s="365"/>
      <c r="CG31" s="365"/>
      <c r="CH31" s="365"/>
    </row>
    <row r="32" spans="1:86" hidden="1">
      <c r="A32" s="317" t="str">
        <f>languages!A480</f>
        <v>Suma Ingresos Equipo/Planta (US$/a)</v>
      </c>
      <c r="B32" s="291"/>
      <c r="C32" s="316" t="s">
        <v>392</v>
      </c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31"/>
      <c r="AG32" s="365"/>
      <c r="AH32" s="365"/>
      <c r="AI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  <c r="AV32" s="365"/>
      <c r="AW32" s="365"/>
      <c r="AX32" s="365"/>
      <c r="AY32" s="365"/>
      <c r="AZ32" s="365"/>
      <c r="BA32" s="365"/>
      <c r="BB32" s="365"/>
      <c r="BC32" s="365"/>
      <c r="BD32" s="365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65"/>
      <c r="BR32" s="365"/>
      <c r="BS32" s="365"/>
      <c r="BT32" s="365"/>
      <c r="BU32" s="365"/>
      <c r="BV32" s="365"/>
      <c r="BW32" s="365"/>
      <c r="BX32" s="365"/>
      <c r="BY32" s="365"/>
      <c r="BZ32" s="365"/>
      <c r="CA32" s="365"/>
      <c r="CB32" s="365"/>
      <c r="CC32" s="365"/>
      <c r="CD32" s="365"/>
      <c r="CE32" s="365"/>
      <c r="CF32" s="365"/>
      <c r="CG32" s="365"/>
      <c r="CH32" s="365"/>
    </row>
    <row r="33" spans="1:86" hidden="1">
      <c r="A33" s="317" t="str">
        <f>languages!A481</f>
        <v>Costos de Personal</v>
      </c>
      <c r="B33" s="291"/>
      <c r="C33" s="316" t="s">
        <v>393</v>
      </c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31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5"/>
      <c r="CH33" s="365"/>
    </row>
    <row r="34" spans="1:86" s="367" customFormat="1">
      <c r="A34" s="319" t="str">
        <f>languages!A482</f>
        <v>Costos Administrativos</v>
      </c>
      <c r="B34" s="259" t="s">
        <v>209</v>
      </c>
      <c r="C34" s="373">
        <f>C30+C31</f>
        <v>0</v>
      </c>
      <c r="D34" s="373">
        <f t="shared" ref="D34:AF34" si="5">D30+D31</f>
        <v>0</v>
      </c>
      <c r="E34" s="373">
        <f t="shared" si="5"/>
        <v>0</v>
      </c>
      <c r="F34" s="373">
        <f t="shared" si="5"/>
        <v>0</v>
      </c>
      <c r="G34" s="373">
        <f t="shared" si="5"/>
        <v>0</v>
      </c>
      <c r="H34" s="373">
        <f t="shared" si="5"/>
        <v>0</v>
      </c>
      <c r="I34" s="373">
        <f t="shared" si="5"/>
        <v>0</v>
      </c>
      <c r="J34" s="373">
        <f t="shared" si="5"/>
        <v>0</v>
      </c>
      <c r="K34" s="373">
        <f t="shared" si="5"/>
        <v>0</v>
      </c>
      <c r="L34" s="373">
        <f t="shared" si="5"/>
        <v>0</v>
      </c>
      <c r="M34" s="373">
        <f t="shared" si="5"/>
        <v>0</v>
      </c>
      <c r="N34" s="373">
        <f t="shared" si="5"/>
        <v>0</v>
      </c>
      <c r="O34" s="373">
        <f t="shared" si="5"/>
        <v>0</v>
      </c>
      <c r="P34" s="373">
        <f t="shared" si="5"/>
        <v>0</v>
      </c>
      <c r="Q34" s="373">
        <f t="shared" si="5"/>
        <v>0</v>
      </c>
      <c r="R34" s="373">
        <f t="shared" si="5"/>
        <v>0</v>
      </c>
      <c r="S34" s="373">
        <f t="shared" si="5"/>
        <v>0</v>
      </c>
      <c r="T34" s="373">
        <f t="shared" si="5"/>
        <v>0</v>
      </c>
      <c r="U34" s="373">
        <f t="shared" si="5"/>
        <v>0</v>
      </c>
      <c r="V34" s="373">
        <f t="shared" si="5"/>
        <v>0</v>
      </c>
      <c r="W34" s="373">
        <f t="shared" si="5"/>
        <v>0</v>
      </c>
      <c r="X34" s="373">
        <f t="shared" si="5"/>
        <v>0</v>
      </c>
      <c r="Y34" s="373">
        <f t="shared" si="5"/>
        <v>0</v>
      </c>
      <c r="Z34" s="373">
        <f t="shared" si="5"/>
        <v>0</v>
      </c>
      <c r="AA34" s="373">
        <f t="shared" si="5"/>
        <v>0</v>
      </c>
      <c r="AB34" s="373">
        <f t="shared" si="5"/>
        <v>0</v>
      </c>
      <c r="AC34" s="373">
        <f t="shared" si="5"/>
        <v>0</v>
      </c>
      <c r="AD34" s="373">
        <f t="shared" si="5"/>
        <v>0</v>
      </c>
      <c r="AE34" s="373">
        <f t="shared" si="5"/>
        <v>0</v>
      </c>
      <c r="AF34" s="627">
        <f t="shared" si="5"/>
        <v>0</v>
      </c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  <c r="AS34" s="375"/>
      <c r="AT34" s="375"/>
      <c r="AU34" s="375"/>
      <c r="AV34" s="375"/>
      <c r="AW34" s="375"/>
      <c r="AX34" s="375"/>
      <c r="AY34" s="375"/>
      <c r="AZ34" s="375"/>
      <c r="BA34" s="375"/>
      <c r="BB34" s="375"/>
      <c r="BC34" s="375"/>
      <c r="BD34" s="375"/>
      <c r="BE34" s="375"/>
      <c r="BF34" s="375"/>
      <c r="BG34" s="375"/>
      <c r="BH34" s="375"/>
      <c r="BI34" s="375"/>
      <c r="BJ34" s="375"/>
      <c r="BK34" s="375"/>
      <c r="BL34" s="375"/>
      <c r="BM34" s="375"/>
      <c r="BN34" s="375"/>
      <c r="BO34" s="375"/>
      <c r="BP34" s="375"/>
      <c r="BQ34" s="375"/>
      <c r="BR34" s="375"/>
      <c r="BS34" s="375"/>
      <c r="BT34" s="375"/>
      <c r="BU34" s="375"/>
      <c r="BV34" s="375"/>
      <c r="BW34" s="375"/>
      <c r="BX34" s="375"/>
      <c r="BY34" s="375"/>
      <c r="BZ34" s="375"/>
      <c r="CA34" s="375"/>
      <c r="CB34" s="375"/>
      <c r="CC34" s="375"/>
      <c r="CD34" s="375"/>
      <c r="CE34" s="375"/>
      <c r="CF34" s="375"/>
      <c r="CG34" s="375"/>
      <c r="CH34" s="375"/>
    </row>
    <row r="35" spans="1:86" s="371" customFormat="1">
      <c r="A35" s="625"/>
      <c r="AF35" s="626"/>
      <c r="AG35" s="365"/>
      <c r="AH35" s="365"/>
      <c r="AI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  <c r="AV35" s="365"/>
      <c r="AW35" s="365"/>
      <c r="AX35" s="365"/>
      <c r="AY35" s="365"/>
      <c r="AZ35" s="365"/>
      <c r="BA35" s="365"/>
      <c r="BB35" s="365"/>
      <c r="BC35" s="365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</row>
    <row r="36" spans="1:86">
      <c r="A36" s="317" t="str">
        <f>languages!A481</f>
        <v>Costos de Personal</v>
      </c>
      <c r="B36" s="258" t="s">
        <v>209</v>
      </c>
      <c r="C36" s="316">
        <f>'Cost of operation staff'!E23</f>
        <v>0</v>
      </c>
      <c r="D36" s="316">
        <f>IF(D27&gt;$C11,0,C36*(1+C17))</f>
        <v>0</v>
      </c>
      <c r="E36" s="316">
        <f t="shared" ref="E36:AF36" si="6">IF(E27&gt;$C11,0,D36*(1+D17))</f>
        <v>0</v>
      </c>
      <c r="F36" s="316">
        <f t="shared" si="6"/>
        <v>0</v>
      </c>
      <c r="G36" s="316">
        <f t="shared" si="6"/>
        <v>0</v>
      </c>
      <c r="H36" s="316">
        <f t="shared" si="6"/>
        <v>0</v>
      </c>
      <c r="I36" s="316">
        <f t="shared" si="6"/>
        <v>0</v>
      </c>
      <c r="J36" s="316">
        <f t="shared" si="6"/>
        <v>0</v>
      </c>
      <c r="K36" s="316">
        <f t="shared" si="6"/>
        <v>0</v>
      </c>
      <c r="L36" s="316">
        <f t="shared" si="6"/>
        <v>0</v>
      </c>
      <c r="M36" s="316">
        <f t="shared" si="6"/>
        <v>0</v>
      </c>
      <c r="N36" s="316">
        <f t="shared" si="6"/>
        <v>0</v>
      </c>
      <c r="O36" s="316">
        <f t="shared" si="6"/>
        <v>0</v>
      </c>
      <c r="P36" s="316">
        <f t="shared" si="6"/>
        <v>0</v>
      </c>
      <c r="Q36" s="316">
        <f t="shared" si="6"/>
        <v>0</v>
      </c>
      <c r="R36" s="316">
        <f t="shared" si="6"/>
        <v>0</v>
      </c>
      <c r="S36" s="316">
        <f t="shared" si="6"/>
        <v>0</v>
      </c>
      <c r="T36" s="316">
        <f t="shared" si="6"/>
        <v>0</v>
      </c>
      <c r="U36" s="316">
        <f t="shared" si="6"/>
        <v>0</v>
      </c>
      <c r="V36" s="316">
        <f t="shared" si="6"/>
        <v>0</v>
      </c>
      <c r="W36" s="316">
        <f t="shared" si="6"/>
        <v>0</v>
      </c>
      <c r="X36" s="316">
        <f t="shared" si="6"/>
        <v>0</v>
      </c>
      <c r="Y36" s="316">
        <f t="shared" si="6"/>
        <v>0</v>
      </c>
      <c r="Z36" s="316">
        <f t="shared" si="6"/>
        <v>0</v>
      </c>
      <c r="AA36" s="316">
        <f t="shared" si="6"/>
        <v>0</v>
      </c>
      <c r="AB36" s="316">
        <f t="shared" si="6"/>
        <v>0</v>
      </c>
      <c r="AC36" s="316">
        <f t="shared" si="6"/>
        <v>0</v>
      </c>
      <c r="AD36" s="316">
        <f t="shared" si="6"/>
        <v>0</v>
      </c>
      <c r="AE36" s="316">
        <f t="shared" si="6"/>
        <v>0</v>
      </c>
      <c r="AF36" s="331">
        <f t="shared" si="6"/>
        <v>0</v>
      </c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365"/>
      <c r="AX36" s="365"/>
      <c r="AY36" s="365"/>
      <c r="AZ36" s="365"/>
      <c r="BA36" s="365"/>
      <c r="BB36" s="365"/>
      <c r="BC36" s="365"/>
      <c r="BD36" s="365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</row>
    <row r="37" spans="1:86">
      <c r="A37" s="317" t="str">
        <f>languages!A482</f>
        <v>Costos Administrativos</v>
      </c>
      <c r="B37" s="258" t="s">
        <v>209</v>
      </c>
      <c r="C37" s="316">
        <f>'Cost of operation staff'!E36</f>
        <v>0</v>
      </c>
      <c r="D37" s="316">
        <f>IF(D27&gt;$C11,0,C37*(1+C17))</f>
        <v>0</v>
      </c>
      <c r="E37" s="316">
        <f t="shared" ref="E37:AF37" si="7">IF(E27&gt;$C11,0,D37*(1+D17))</f>
        <v>0</v>
      </c>
      <c r="F37" s="316">
        <f t="shared" si="7"/>
        <v>0</v>
      </c>
      <c r="G37" s="316">
        <f t="shared" si="7"/>
        <v>0</v>
      </c>
      <c r="H37" s="316">
        <f t="shared" si="7"/>
        <v>0</v>
      </c>
      <c r="I37" s="316">
        <f t="shared" si="7"/>
        <v>0</v>
      </c>
      <c r="J37" s="316">
        <f t="shared" si="7"/>
        <v>0</v>
      </c>
      <c r="K37" s="316">
        <f t="shared" si="7"/>
        <v>0</v>
      </c>
      <c r="L37" s="316">
        <f t="shared" si="7"/>
        <v>0</v>
      </c>
      <c r="M37" s="316">
        <f t="shared" si="7"/>
        <v>0</v>
      </c>
      <c r="N37" s="316">
        <f t="shared" si="7"/>
        <v>0</v>
      </c>
      <c r="O37" s="316">
        <f t="shared" si="7"/>
        <v>0</v>
      </c>
      <c r="P37" s="316">
        <f t="shared" si="7"/>
        <v>0</v>
      </c>
      <c r="Q37" s="316">
        <f t="shared" si="7"/>
        <v>0</v>
      </c>
      <c r="R37" s="316">
        <f t="shared" si="7"/>
        <v>0</v>
      </c>
      <c r="S37" s="316">
        <f t="shared" si="7"/>
        <v>0</v>
      </c>
      <c r="T37" s="316">
        <f t="shared" si="7"/>
        <v>0</v>
      </c>
      <c r="U37" s="316">
        <f t="shared" si="7"/>
        <v>0</v>
      </c>
      <c r="V37" s="316">
        <f t="shared" si="7"/>
        <v>0</v>
      </c>
      <c r="W37" s="316">
        <f t="shared" si="7"/>
        <v>0</v>
      </c>
      <c r="X37" s="316">
        <f t="shared" si="7"/>
        <v>0</v>
      </c>
      <c r="Y37" s="316">
        <f t="shared" si="7"/>
        <v>0</v>
      </c>
      <c r="Z37" s="316">
        <f t="shared" si="7"/>
        <v>0</v>
      </c>
      <c r="AA37" s="316">
        <f t="shared" si="7"/>
        <v>0</v>
      </c>
      <c r="AB37" s="316">
        <f t="shared" si="7"/>
        <v>0</v>
      </c>
      <c r="AC37" s="316">
        <f t="shared" si="7"/>
        <v>0</v>
      </c>
      <c r="AD37" s="316">
        <f t="shared" si="7"/>
        <v>0</v>
      </c>
      <c r="AE37" s="316">
        <f t="shared" si="7"/>
        <v>0</v>
      </c>
      <c r="AF37" s="331">
        <f t="shared" si="7"/>
        <v>0</v>
      </c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</row>
    <row r="38" spans="1:86" s="372" customFormat="1">
      <c r="A38" s="319" t="str">
        <f>languages!A483</f>
        <v>Costos Variables (Mantención, insumos)</v>
      </c>
      <c r="B38" s="259" t="s">
        <v>209</v>
      </c>
      <c r="C38" s="373">
        <f>C24</f>
        <v>0</v>
      </c>
      <c r="D38" s="373">
        <f>IF(D27&gt;$C11,0,$C24*(1+$C17)^C27)</f>
        <v>0</v>
      </c>
      <c r="E38" s="373">
        <f t="shared" ref="E38:AF38" si="8">IF(E27&gt;$C11,0,$C24*(1+$C17)^D27)</f>
        <v>0</v>
      </c>
      <c r="F38" s="373">
        <f t="shared" si="8"/>
        <v>0</v>
      </c>
      <c r="G38" s="373">
        <f t="shared" si="8"/>
        <v>0</v>
      </c>
      <c r="H38" s="373">
        <f t="shared" si="8"/>
        <v>0</v>
      </c>
      <c r="I38" s="373">
        <f t="shared" si="8"/>
        <v>0</v>
      </c>
      <c r="J38" s="373">
        <f t="shared" si="8"/>
        <v>0</v>
      </c>
      <c r="K38" s="373">
        <f t="shared" si="8"/>
        <v>0</v>
      </c>
      <c r="L38" s="373">
        <f t="shared" si="8"/>
        <v>0</v>
      </c>
      <c r="M38" s="373">
        <f t="shared" si="8"/>
        <v>0</v>
      </c>
      <c r="N38" s="373">
        <f t="shared" si="8"/>
        <v>0</v>
      </c>
      <c r="O38" s="373">
        <f t="shared" si="8"/>
        <v>0</v>
      </c>
      <c r="P38" s="373">
        <f t="shared" si="8"/>
        <v>0</v>
      </c>
      <c r="Q38" s="373">
        <f t="shared" si="8"/>
        <v>0</v>
      </c>
      <c r="R38" s="373">
        <f t="shared" si="8"/>
        <v>0</v>
      </c>
      <c r="S38" s="373">
        <f t="shared" si="8"/>
        <v>0</v>
      </c>
      <c r="T38" s="373">
        <f t="shared" si="8"/>
        <v>0</v>
      </c>
      <c r="U38" s="373">
        <f t="shared" si="8"/>
        <v>0</v>
      </c>
      <c r="V38" s="373">
        <f t="shared" si="8"/>
        <v>0</v>
      </c>
      <c r="W38" s="373">
        <f t="shared" si="8"/>
        <v>0</v>
      </c>
      <c r="X38" s="373">
        <f t="shared" si="8"/>
        <v>0</v>
      </c>
      <c r="Y38" s="373">
        <f t="shared" si="8"/>
        <v>0</v>
      </c>
      <c r="Z38" s="373">
        <f t="shared" si="8"/>
        <v>0</v>
      </c>
      <c r="AA38" s="373">
        <f t="shared" si="8"/>
        <v>0</v>
      </c>
      <c r="AB38" s="373">
        <f t="shared" si="8"/>
        <v>0</v>
      </c>
      <c r="AC38" s="373">
        <f t="shared" si="8"/>
        <v>0</v>
      </c>
      <c r="AD38" s="373">
        <f t="shared" si="8"/>
        <v>0</v>
      </c>
      <c r="AE38" s="373">
        <f t="shared" si="8"/>
        <v>0</v>
      </c>
      <c r="AF38" s="627">
        <f t="shared" si="8"/>
        <v>0</v>
      </c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375"/>
      <c r="CA38" s="375"/>
      <c r="CB38" s="375"/>
      <c r="CC38" s="375"/>
      <c r="CD38" s="375"/>
      <c r="CE38" s="375"/>
      <c r="CF38" s="375"/>
      <c r="CG38" s="375"/>
      <c r="CH38" s="375"/>
    </row>
    <row r="39" spans="1:86">
      <c r="A39" s="317" t="str">
        <f>languages!A484</f>
        <v>Costos Esporádicos (ej. Cambio Inversor)</v>
      </c>
      <c r="B39" s="258" t="s">
        <v>206</v>
      </c>
      <c r="C39" s="510">
        <v>0</v>
      </c>
      <c r="D39" s="510">
        <v>0</v>
      </c>
      <c r="E39" s="510">
        <v>0</v>
      </c>
      <c r="F39" s="510">
        <v>0</v>
      </c>
      <c r="G39" s="510">
        <v>0</v>
      </c>
      <c r="H39" s="510">
        <v>0</v>
      </c>
      <c r="I39" s="510">
        <v>0</v>
      </c>
      <c r="J39" s="510">
        <v>0</v>
      </c>
      <c r="K39" s="510">
        <v>0</v>
      </c>
      <c r="L39" s="510">
        <v>0</v>
      </c>
      <c r="M39" s="510">
        <v>0</v>
      </c>
      <c r="N39" s="510">
        <v>0</v>
      </c>
      <c r="O39" s="510">
        <v>0</v>
      </c>
      <c r="P39" s="510">
        <v>0</v>
      </c>
      <c r="Q39" s="510">
        <v>0</v>
      </c>
      <c r="R39" s="510">
        <v>0</v>
      </c>
      <c r="S39" s="510">
        <v>0</v>
      </c>
      <c r="T39" s="510">
        <v>0</v>
      </c>
      <c r="U39" s="510">
        <v>0</v>
      </c>
      <c r="V39" s="510">
        <v>0</v>
      </c>
      <c r="W39" s="510">
        <v>0</v>
      </c>
      <c r="X39" s="510">
        <v>0</v>
      </c>
      <c r="Y39" s="510">
        <v>0</v>
      </c>
      <c r="Z39" s="510">
        <v>0</v>
      </c>
      <c r="AA39" s="510">
        <v>0</v>
      </c>
      <c r="AB39" s="510">
        <v>0</v>
      </c>
      <c r="AC39" s="510">
        <v>0</v>
      </c>
      <c r="AD39" s="510"/>
      <c r="AE39" s="510"/>
      <c r="AF39" s="511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  <c r="AV39" s="365"/>
      <c r="AW39" s="365"/>
      <c r="AX39" s="365"/>
      <c r="AY39" s="365"/>
      <c r="AZ39" s="365"/>
      <c r="BA39" s="365"/>
      <c r="BB39" s="365"/>
      <c r="BC39" s="365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</row>
    <row r="40" spans="1:86" ht="16.5" thickBot="1">
      <c r="A40" s="499" t="str">
        <f>languages!A485</f>
        <v xml:space="preserve">Arriendo  </v>
      </c>
      <c r="B40" s="326" t="s">
        <v>209</v>
      </c>
      <c r="C40" s="551">
        <f>C19</f>
        <v>0</v>
      </c>
      <c r="D40" s="551">
        <f>IF(D27&gt;$C11,0,C40*(1+$C17))</f>
        <v>0</v>
      </c>
      <c r="E40" s="551">
        <f t="shared" ref="E40:AF40" si="9">IF(E27&gt;$C11,0,D40*(1+$C17))</f>
        <v>0</v>
      </c>
      <c r="F40" s="551">
        <f t="shared" si="9"/>
        <v>0</v>
      </c>
      <c r="G40" s="551">
        <f t="shared" si="9"/>
        <v>0</v>
      </c>
      <c r="H40" s="551">
        <f t="shared" si="9"/>
        <v>0</v>
      </c>
      <c r="I40" s="551">
        <f t="shared" si="9"/>
        <v>0</v>
      </c>
      <c r="J40" s="551">
        <f t="shared" si="9"/>
        <v>0</v>
      </c>
      <c r="K40" s="551">
        <f t="shared" si="9"/>
        <v>0</v>
      </c>
      <c r="L40" s="551">
        <f t="shared" si="9"/>
        <v>0</v>
      </c>
      <c r="M40" s="551">
        <f t="shared" si="9"/>
        <v>0</v>
      </c>
      <c r="N40" s="551">
        <f t="shared" si="9"/>
        <v>0</v>
      </c>
      <c r="O40" s="551">
        <f t="shared" si="9"/>
        <v>0</v>
      </c>
      <c r="P40" s="551">
        <f t="shared" si="9"/>
        <v>0</v>
      </c>
      <c r="Q40" s="551">
        <f t="shared" si="9"/>
        <v>0</v>
      </c>
      <c r="R40" s="551">
        <f t="shared" si="9"/>
        <v>0</v>
      </c>
      <c r="S40" s="551">
        <f t="shared" si="9"/>
        <v>0</v>
      </c>
      <c r="T40" s="551">
        <f t="shared" si="9"/>
        <v>0</v>
      </c>
      <c r="U40" s="551">
        <f t="shared" si="9"/>
        <v>0</v>
      </c>
      <c r="V40" s="551">
        <f t="shared" si="9"/>
        <v>0</v>
      </c>
      <c r="W40" s="551">
        <f t="shared" si="9"/>
        <v>0</v>
      </c>
      <c r="X40" s="551">
        <f t="shared" si="9"/>
        <v>0</v>
      </c>
      <c r="Y40" s="551">
        <f t="shared" si="9"/>
        <v>0</v>
      </c>
      <c r="Z40" s="551">
        <f t="shared" si="9"/>
        <v>0</v>
      </c>
      <c r="AA40" s="551">
        <f t="shared" si="9"/>
        <v>0</v>
      </c>
      <c r="AB40" s="551">
        <f t="shared" si="9"/>
        <v>0</v>
      </c>
      <c r="AC40" s="551">
        <f t="shared" si="9"/>
        <v>0</v>
      </c>
      <c r="AD40" s="551">
        <f t="shared" si="9"/>
        <v>0</v>
      </c>
      <c r="AE40" s="551">
        <f t="shared" si="9"/>
        <v>0</v>
      </c>
      <c r="AF40" s="622">
        <f t="shared" si="9"/>
        <v>0</v>
      </c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365"/>
      <c r="AX40" s="365"/>
      <c r="AY40" s="365"/>
      <c r="AZ40" s="365"/>
      <c r="BA40" s="365"/>
      <c r="BB40" s="365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65"/>
      <c r="CC40" s="365"/>
      <c r="CD40" s="365"/>
      <c r="CE40" s="365"/>
      <c r="CF40" s="365"/>
      <c r="CG40" s="365"/>
      <c r="CH40" s="365"/>
    </row>
    <row r="41" spans="1:86"/>
  </sheetData>
  <sheetProtection sheet="1"/>
  <mergeCells count="8">
    <mergeCell ref="A2:G2"/>
    <mergeCell ref="D3:D24"/>
    <mergeCell ref="E3:G3"/>
    <mergeCell ref="E5:G6"/>
    <mergeCell ref="E14:G14"/>
    <mergeCell ref="A18:C18"/>
    <mergeCell ref="E18:G18"/>
    <mergeCell ref="B3:C3"/>
  </mergeCells>
  <pageMargins left="0.70866141732283472" right="0.70866141732283472" top="0.78740157480314965" bottom="0.78740157480314965" header="0.31496062992125984" footer="0.31496062992125984"/>
  <pageSetup paperSize="9" scale="21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249977111117893"/>
    <pageSetUpPr fitToPage="1"/>
  </sheetPr>
  <dimension ref="A1:CH54"/>
  <sheetViews>
    <sheetView showGridLines="0" zoomScale="90" zoomScaleNormal="90" workbookViewId="0">
      <selection activeCell="E41" sqref="E41"/>
    </sheetView>
  </sheetViews>
  <sheetFormatPr baseColWidth="10" defaultColWidth="0" defaultRowHeight="15.75" zeroHeight="1"/>
  <cols>
    <col min="1" max="1" width="45.75" customWidth="1"/>
    <col min="2" max="2" width="10.875" customWidth="1"/>
    <col min="3" max="3" width="14.25" customWidth="1"/>
    <col min="4" max="4" width="11" customWidth="1"/>
    <col min="5" max="5" width="13.125" customWidth="1"/>
    <col min="6" max="29" width="11" customWidth="1"/>
    <col min="30" max="31" width="12.375" bestFit="1" customWidth="1"/>
    <col min="32" max="32" width="13.375" bestFit="1" customWidth="1"/>
    <col min="33" max="33" width="11" customWidth="1"/>
  </cols>
  <sheetData>
    <row r="1" spans="1:7" ht="16.5" thickBot="1">
      <c r="A1" s="204"/>
      <c r="B1" s="204"/>
      <c r="C1" s="273"/>
    </row>
    <row r="2" spans="1:7" ht="18.75">
      <c r="A2" s="884" t="str">
        <f>languages!A487</f>
        <v>Cogeneración</v>
      </c>
      <c r="B2" s="885"/>
      <c r="C2" s="885"/>
      <c r="D2" s="885"/>
      <c r="E2" s="885"/>
      <c r="F2" s="885"/>
      <c r="G2" s="886"/>
    </row>
    <row r="3" spans="1:7">
      <c r="A3" s="317"/>
      <c r="B3" s="879"/>
      <c r="C3" s="880"/>
      <c r="D3" s="887"/>
      <c r="E3" s="891"/>
      <c r="F3" s="892"/>
      <c r="G3" s="893"/>
    </row>
    <row r="4" spans="1:7">
      <c r="A4" s="396" t="str">
        <f>languages!A488</f>
        <v>Datos Base</v>
      </c>
      <c r="B4" s="328" t="str">
        <f>languages!A489</f>
        <v>Unidad</v>
      </c>
      <c r="C4" s="366" t="str">
        <f>languages!A490</f>
        <v>Valor</v>
      </c>
      <c r="D4" s="888"/>
      <c r="E4" s="607"/>
      <c r="F4" s="608"/>
      <c r="G4" s="609"/>
    </row>
    <row r="5" spans="1:7">
      <c r="A5" s="317" t="str">
        <f>languages!A495</f>
        <v>Capacidad Eléctrica Instalada</v>
      </c>
      <c r="B5" s="258" t="s">
        <v>199</v>
      </c>
      <c r="C5" s="397">
        <v>0</v>
      </c>
      <c r="D5" s="888"/>
      <c r="E5" s="864"/>
      <c r="F5" s="881"/>
      <c r="G5" s="882"/>
    </row>
    <row r="6" spans="1:7">
      <c r="A6" s="317" t="str">
        <f>languages!A496</f>
        <v>Capacidad Térmica Instalada</v>
      </c>
      <c r="B6" s="258" t="s">
        <v>199</v>
      </c>
      <c r="C6" s="397">
        <v>0</v>
      </c>
      <c r="D6" s="888"/>
      <c r="E6" s="864"/>
      <c r="F6" s="881"/>
      <c r="G6" s="882"/>
    </row>
    <row r="7" spans="1:7">
      <c r="A7" s="317" t="str">
        <f>languages!A497</f>
        <v xml:space="preserve">Costos de Inversión  </v>
      </c>
      <c r="B7" s="398" t="s">
        <v>206</v>
      </c>
      <c r="C7" s="397">
        <v>0</v>
      </c>
      <c r="D7" s="888"/>
      <c r="E7" s="610"/>
      <c r="F7" s="368"/>
      <c r="G7" s="369"/>
    </row>
    <row r="8" spans="1:7">
      <c r="A8" s="317" t="str">
        <f>languages!A498</f>
        <v>Horas Funcionamiento (Factor Capacidad x 8.760h)</v>
      </c>
      <c r="B8" s="258" t="s">
        <v>407</v>
      </c>
      <c r="C8" s="397">
        <v>0</v>
      </c>
      <c r="D8" s="888"/>
      <c r="E8" s="603"/>
      <c r="F8" s="365"/>
      <c r="G8" s="370"/>
    </row>
    <row r="9" spans="1:7">
      <c r="A9" s="317" t="str">
        <f>languages!A499</f>
        <v>Degradación Anual de Producción</v>
      </c>
      <c r="B9" s="258" t="s">
        <v>243</v>
      </c>
      <c r="C9" s="660">
        <v>0</v>
      </c>
      <c r="D9" s="888"/>
      <c r="E9" s="603"/>
      <c r="F9" s="365"/>
      <c r="G9" s="370"/>
    </row>
    <row r="10" spans="1:7">
      <c r="A10" s="317" t="str">
        <f>languages!A500</f>
        <v>Vida Útil</v>
      </c>
      <c r="B10" s="258" t="s">
        <v>705</v>
      </c>
      <c r="C10" s="397">
        <v>0</v>
      </c>
      <c r="D10" s="888"/>
      <c r="E10" s="611"/>
      <c r="F10" s="612"/>
      <c r="G10" s="613"/>
    </row>
    <row r="11" spans="1:7">
      <c r="A11" s="317" t="str">
        <f>languages!A501</f>
        <v>Producción Electricidad</v>
      </c>
      <c r="B11" s="258" t="s">
        <v>167</v>
      </c>
      <c r="C11" s="399">
        <f>C5*C8</f>
        <v>0</v>
      </c>
      <c r="D11" s="888"/>
      <c r="E11" s="603"/>
      <c r="F11" s="365"/>
      <c r="G11" s="370"/>
    </row>
    <row r="12" spans="1:7">
      <c r="A12" s="317" t="str">
        <f>languages!A502</f>
        <v>Producción Energía Térmica KWK</v>
      </c>
      <c r="B12" s="258" t="s">
        <v>167</v>
      </c>
      <c r="C12" s="397">
        <v>0</v>
      </c>
      <c r="D12" s="888"/>
      <c r="E12" s="603"/>
      <c r="F12" s="365"/>
      <c r="G12" s="370"/>
    </row>
    <row r="13" spans="1:7">
      <c r="A13" s="317" t="str">
        <f>languages!A503</f>
        <v>Necesidad Anual de Gas KWK</v>
      </c>
      <c r="B13" s="258" t="s">
        <v>167</v>
      </c>
      <c r="C13" s="399" t="str">
        <f>IF(C14=0,"Error",(C11+C12)/C14)</f>
        <v>Error</v>
      </c>
      <c r="D13" s="888"/>
      <c r="E13" s="603"/>
      <c r="F13" s="365"/>
      <c r="G13" s="370"/>
    </row>
    <row r="14" spans="1:7">
      <c r="A14" s="317" t="str">
        <f>languages!A504</f>
        <v>Eficiencia Total</v>
      </c>
      <c r="B14" s="258" t="s">
        <v>241</v>
      </c>
      <c r="C14" s="660">
        <v>0</v>
      </c>
      <c r="D14" s="888"/>
      <c r="E14" s="883"/>
      <c r="F14" s="881"/>
      <c r="G14" s="882"/>
    </row>
    <row r="15" spans="1:7">
      <c r="A15" s="317" t="str">
        <f>languages!A505</f>
        <v>Eficiencia Eléctrica</v>
      </c>
      <c r="B15" s="258" t="s">
        <v>241</v>
      </c>
      <c r="C15" s="660">
        <v>0</v>
      </c>
      <c r="D15" s="888"/>
      <c r="E15" s="614"/>
      <c r="F15" s="615"/>
      <c r="G15" s="616"/>
    </row>
    <row r="16" spans="1:7">
      <c r="A16" s="317" t="str">
        <f>languages!A506</f>
        <v>Eficiencia Térmica</v>
      </c>
      <c r="B16" s="258" t="s">
        <v>241</v>
      </c>
      <c r="C16" s="660">
        <v>0</v>
      </c>
      <c r="D16" s="888"/>
      <c r="E16" s="614"/>
      <c r="F16" s="615"/>
      <c r="G16" s="616"/>
    </row>
    <row r="17" spans="1:7">
      <c r="A17" s="317" t="str">
        <f>languages!A507</f>
        <v>Eficiencia Estufa Convencional</v>
      </c>
      <c r="B17" s="258" t="s">
        <v>241</v>
      </c>
      <c r="C17" s="660">
        <v>0</v>
      </c>
      <c r="D17" s="888"/>
      <c r="E17" s="614"/>
      <c r="F17" s="615"/>
      <c r="G17" s="616"/>
    </row>
    <row r="18" spans="1:7">
      <c r="A18" s="317" t="str">
        <f>languages!A508</f>
        <v xml:space="preserve"> Disminución Energía Uso Calderas</v>
      </c>
      <c r="B18" s="258" t="s">
        <v>167</v>
      </c>
      <c r="C18" s="393">
        <f>IF(C17=0,0,C12/C17)</f>
        <v>0</v>
      </c>
      <c r="D18" s="888"/>
      <c r="E18" s="883"/>
      <c r="F18" s="881"/>
      <c r="G18" s="882"/>
    </row>
    <row r="19" spans="1:7">
      <c r="A19" s="317" t="str">
        <f>languages!A509</f>
        <v>Aumento Uso KWK</v>
      </c>
      <c r="B19" s="258" t="s">
        <v>167</v>
      </c>
      <c r="C19" s="393">
        <f>IF(C14=0,0,C13-C18)</f>
        <v>0</v>
      </c>
      <c r="D19" s="888"/>
      <c r="E19" s="603"/>
      <c r="F19" s="365"/>
      <c r="G19" s="370"/>
    </row>
    <row r="20" spans="1:7">
      <c r="A20" s="869"/>
      <c r="B20" s="870"/>
      <c r="C20" s="890"/>
      <c r="D20" s="888"/>
      <c r="E20" s="603"/>
      <c r="F20" s="365"/>
      <c r="G20" s="370"/>
    </row>
    <row r="21" spans="1:7">
      <c r="A21" s="317" t="str">
        <f>languages!A510</f>
        <v>Precio Compra Electricidad</v>
      </c>
      <c r="B21" s="258" t="s">
        <v>207</v>
      </c>
      <c r="C21" s="540">
        <v>0</v>
      </c>
      <c r="D21" s="888"/>
      <c r="E21" s="603"/>
      <c r="F21" s="365"/>
      <c r="G21" s="370"/>
    </row>
    <row r="22" spans="1:7">
      <c r="A22" s="317" t="str">
        <f>languages!A511</f>
        <v>Precio Compra Gas Natural</v>
      </c>
      <c r="B22" s="258" t="s">
        <v>207</v>
      </c>
      <c r="C22" s="540">
        <v>0</v>
      </c>
      <c r="D22" s="888"/>
      <c r="E22" s="603"/>
      <c r="F22" s="365"/>
      <c r="G22" s="370"/>
    </row>
    <row r="23" spans="1:7">
      <c r="A23" s="317" t="str">
        <f>languages!A512</f>
        <v>Precio Venta Electricidad</v>
      </c>
      <c r="B23" s="258" t="s">
        <v>207</v>
      </c>
      <c r="C23" s="540">
        <v>0</v>
      </c>
      <c r="D23" s="888"/>
      <c r="E23" s="603"/>
      <c r="F23" s="365"/>
      <c r="G23" s="370"/>
    </row>
    <row r="24" spans="1:7">
      <c r="A24" s="317" t="str">
        <f>languages!A513</f>
        <v>Incremento Anual Precio Venta %</v>
      </c>
      <c r="B24" s="258" t="s">
        <v>243</v>
      </c>
      <c r="C24" s="661">
        <v>0</v>
      </c>
      <c r="D24" s="888"/>
      <c r="E24" s="603"/>
      <c r="F24" s="365"/>
      <c r="G24" s="370"/>
    </row>
    <row r="25" spans="1:7">
      <c r="A25" s="317" t="str">
        <f>languages!A514</f>
        <v>Incremento Anual Precio Compra Combustibles</v>
      </c>
      <c r="B25" s="258" t="s">
        <v>243</v>
      </c>
      <c r="C25" s="661">
        <v>0</v>
      </c>
      <c r="D25" s="888"/>
      <c r="E25" s="603"/>
      <c r="F25" s="365"/>
      <c r="G25" s="370"/>
    </row>
    <row r="26" spans="1:7">
      <c r="A26" s="317" t="str">
        <f>languages!A515</f>
        <v>Tasa de Inflación (Incremento Costos Mantención)</v>
      </c>
      <c r="B26" s="258" t="s">
        <v>243</v>
      </c>
      <c r="C26" s="662">
        <f>'Main Input-Output'!B40</f>
        <v>0.03</v>
      </c>
      <c r="D26" s="888"/>
      <c r="E26" s="603"/>
      <c r="F26" s="365"/>
      <c r="G26" s="370"/>
    </row>
    <row r="27" spans="1:7">
      <c r="A27" s="317" t="str">
        <f>languages!A516</f>
        <v>% Uso Propio</v>
      </c>
      <c r="B27" s="258" t="s">
        <v>241</v>
      </c>
      <c r="C27" s="661">
        <v>0</v>
      </c>
      <c r="D27" s="888"/>
      <c r="E27" s="603"/>
      <c r="F27" s="365"/>
      <c r="G27" s="370"/>
    </row>
    <row r="28" spans="1:7">
      <c r="A28" s="869"/>
      <c r="B28" s="870"/>
      <c r="C28" s="890"/>
      <c r="D28" s="888"/>
      <c r="E28" s="603"/>
      <c r="F28" s="365"/>
      <c r="G28" s="370"/>
    </row>
    <row r="29" spans="1:7">
      <c r="A29" s="317" t="str">
        <f>languages!A517</f>
        <v>Arriendo Anual</v>
      </c>
      <c r="B29" s="258" t="s">
        <v>209</v>
      </c>
      <c r="C29" s="512">
        <v>0</v>
      </c>
      <c r="D29" s="888"/>
      <c r="E29" s="603"/>
      <c r="F29" s="365"/>
      <c r="G29" s="370"/>
    </row>
    <row r="30" spans="1:7">
      <c r="A30" s="317" t="str">
        <f>languages!A518</f>
        <v>Seguros</v>
      </c>
      <c r="B30" s="258" t="s">
        <v>209</v>
      </c>
      <c r="C30" s="512">
        <v>0</v>
      </c>
      <c r="D30" s="888"/>
      <c r="E30" s="603"/>
      <c r="F30" s="365"/>
      <c r="G30" s="370"/>
    </row>
    <row r="31" spans="1:7">
      <c r="A31" s="317" t="str">
        <f>languages!A519</f>
        <v>Contador</v>
      </c>
      <c r="B31" s="258" t="s">
        <v>209</v>
      </c>
      <c r="C31" s="512">
        <v>0</v>
      </c>
      <c r="D31" s="888"/>
      <c r="E31" s="603"/>
      <c r="F31" s="365"/>
      <c r="G31" s="370"/>
    </row>
    <row r="32" spans="1:7">
      <c r="A32" s="317" t="str">
        <f>languages!A520</f>
        <v>Otros (ej. Insumos operacionales)</v>
      </c>
      <c r="B32" s="258" t="s">
        <v>209</v>
      </c>
      <c r="C32" s="512">
        <v>0</v>
      </c>
      <c r="D32" s="888"/>
      <c r="E32" s="603"/>
      <c r="F32" s="365"/>
      <c r="G32" s="370"/>
    </row>
    <row r="33" spans="1:86">
      <c r="A33" s="317" t="str">
        <f>languages!A521</f>
        <v>Costos Mantención</v>
      </c>
      <c r="B33" s="258" t="s">
        <v>209</v>
      </c>
      <c r="C33" s="512">
        <v>0</v>
      </c>
      <c r="D33" s="888"/>
      <c r="E33" s="603"/>
      <c r="F33" s="365"/>
      <c r="G33" s="370"/>
    </row>
    <row r="34" spans="1:86">
      <c r="A34" s="869"/>
      <c r="B34" s="870"/>
      <c r="C34" s="890"/>
      <c r="D34" s="888"/>
      <c r="E34" s="603"/>
      <c r="F34" s="365"/>
      <c r="G34" s="370"/>
    </row>
    <row r="35" spans="1:86">
      <c r="A35" s="317" t="str">
        <f>languages!A522</f>
        <v>Aumento Costos Gas</v>
      </c>
      <c r="B35" s="258" t="s">
        <v>209</v>
      </c>
      <c r="C35" s="399">
        <f>C19*C22</f>
        <v>0</v>
      </c>
      <c r="D35" s="888"/>
      <c r="E35" s="603"/>
      <c r="F35" s="365"/>
      <c r="G35" s="370"/>
    </row>
    <row r="36" spans="1:86">
      <c r="A36" s="317" t="str">
        <f>languages!A523</f>
        <v>Disminución Uso Electricidad</v>
      </c>
      <c r="B36" s="258" t="s">
        <v>209</v>
      </c>
      <c r="C36" s="399">
        <f>C11*C21</f>
        <v>0</v>
      </c>
      <c r="D36" s="888"/>
      <c r="E36" s="603"/>
      <c r="F36" s="365"/>
      <c r="G36" s="370"/>
    </row>
    <row r="37" spans="1:86" ht="16.5" thickBot="1">
      <c r="A37" s="499" t="str">
        <f>languages!A524</f>
        <v>Diferencia Costos-Ingresos</v>
      </c>
      <c r="B37" s="326" t="s">
        <v>209</v>
      </c>
      <c r="C37" s="503">
        <f>C35+C33-C36</f>
        <v>0</v>
      </c>
      <c r="D37" s="889"/>
      <c r="E37" s="604"/>
      <c r="F37" s="605"/>
      <c r="G37" s="606"/>
    </row>
    <row r="38" spans="1:86" s="365" customFormat="1" ht="16.5" thickBot="1"/>
    <row r="39" spans="1:86">
      <c r="A39" s="491" t="str">
        <f>languages!A525</f>
        <v>Año</v>
      </c>
      <c r="B39" s="492"/>
      <c r="C39" s="493">
        <f>'Calc A'!C42</f>
        <v>2015</v>
      </c>
      <c r="D39" s="493">
        <f>C39+1</f>
        <v>2016</v>
      </c>
      <c r="E39" s="493">
        <f t="shared" ref="E39:V39" si="0">D39+1</f>
        <v>2017</v>
      </c>
      <c r="F39" s="493">
        <f t="shared" si="0"/>
        <v>2018</v>
      </c>
      <c r="G39" s="493">
        <f t="shared" si="0"/>
        <v>2019</v>
      </c>
      <c r="H39" s="493">
        <f t="shared" si="0"/>
        <v>2020</v>
      </c>
      <c r="I39" s="493">
        <f t="shared" si="0"/>
        <v>2021</v>
      </c>
      <c r="J39" s="493">
        <f t="shared" si="0"/>
        <v>2022</v>
      </c>
      <c r="K39" s="493">
        <f t="shared" si="0"/>
        <v>2023</v>
      </c>
      <c r="L39" s="493">
        <f t="shared" si="0"/>
        <v>2024</v>
      </c>
      <c r="M39" s="493">
        <f t="shared" si="0"/>
        <v>2025</v>
      </c>
      <c r="N39" s="493">
        <f t="shared" si="0"/>
        <v>2026</v>
      </c>
      <c r="O39" s="493">
        <f t="shared" si="0"/>
        <v>2027</v>
      </c>
      <c r="P39" s="493">
        <f t="shared" si="0"/>
        <v>2028</v>
      </c>
      <c r="Q39" s="493">
        <f t="shared" si="0"/>
        <v>2029</v>
      </c>
      <c r="R39" s="493">
        <f t="shared" si="0"/>
        <v>2030</v>
      </c>
      <c r="S39" s="493">
        <f t="shared" si="0"/>
        <v>2031</v>
      </c>
      <c r="T39" s="493">
        <f t="shared" si="0"/>
        <v>2032</v>
      </c>
      <c r="U39" s="493">
        <f t="shared" si="0"/>
        <v>2033</v>
      </c>
      <c r="V39" s="493">
        <f t="shared" si="0"/>
        <v>2034</v>
      </c>
      <c r="W39" s="493">
        <f t="shared" ref="W39:AF39" si="1">V39+1</f>
        <v>2035</v>
      </c>
      <c r="X39" s="493">
        <f t="shared" si="1"/>
        <v>2036</v>
      </c>
      <c r="Y39" s="493">
        <f t="shared" si="1"/>
        <v>2037</v>
      </c>
      <c r="Z39" s="493">
        <f t="shared" si="1"/>
        <v>2038</v>
      </c>
      <c r="AA39" s="493">
        <f t="shared" si="1"/>
        <v>2039</v>
      </c>
      <c r="AB39" s="493">
        <f t="shared" si="1"/>
        <v>2040</v>
      </c>
      <c r="AC39" s="493">
        <f t="shared" si="1"/>
        <v>2041</v>
      </c>
      <c r="AD39" s="493">
        <f t="shared" si="1"/>
        <v>2042</v>
      </c>
      <c r="AE39" s="493">
        <f t="shared" si="1"/>
        <v>2043</v>
      </c>
      <c r="AF39" s="494">
        <f t="shared" si="1"/>
        <v>2044</v>
      </c>
    </row>
    <row r="40" spans="1:86">
      <c r="A40" s="317" t="str">
        <f>languages!A526</f>
        <v>Periodo</v>
      </c>
      <c r="B40" s="495"/>
      <c r="C40" s="316">
        <v>1</v>
      </c>
      <c r="D40" s="316">
        <v>2</v>
      </c>
      <c r="E40" s="316">
        <v>3</v>
      </c>
      <c r="F40" s="316">
        <v>4</v>
      </c>
      <c r="G40" s="316">
        <v>5</v>
      </c>
      <c r="H40" s="316">
        <v>6</v>
      </c>
      <c r="I40" s="316">
        <v>7</v>
      </c>
      <c r="J40" s="316">
        <v>8</v>
      </c>
      <c r="K40" s="316">
        <v>9</v>
      </c>
      <c r="L40" s="316">
        <v>10</v>
      </c>
      <c r="M40" s="316">
        <v>11</v>
      </c>
      <c r="N40" s="316">
        <v>12</v>
      </c>
      <c r="O40" s="316">
        <v>13</v>
      </c>
      <c r="P40" s="316">
        <v>14</v>
      </c>
      <c r="Q40" s="316">
        <v>15</v>
      </c>
      <c r="R40" s="316">
        <v>16</v>
      </c>
      <c r="S40" s="316">
        <v>17</v>
      </c>
      <c r="T40" s="316">
        <v>18</v>
      </c>
      <c r="U40" s="316">
        <v>19</v>
      </c>
      <c r="V40" s="316">
        <v>20</v>
      </c>
      <c r="W40" s="316">
        <v>21</v>
      </c>
      <c r="X40" s="316">
        <v>22</v>
      </c>
      <c r="Y40" s="316">
        <v>23</v>
      </c>
      <c r="Z40" s="316">
        <v>24</v>
      </c>
      <c r="AA40" s="316">
        <v>25</v>
      </c>
      <c r="AB40" s="316">
        <v>26</v>
      </c>
      <c r="AC40" s="316">
        <v>27</v>
      </c>
      <c r="AD40" s="316">
        <v>28</v>
      </c>
      <c r="AE40" s="316">
        <v>29</v>
      </c>
      <c r="AF40" s="331">
        <v>30</v>
      </c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365"/>
      <c r="AX40" s="365"/>
      <c r="AY40" s="365"/>
      <c r="AZ40" s="365"/>
      <c r="BA40" s="365"/>
      <c r="BB40" s="365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65"/>
      <c r="CC40" s="365"/>
      <c r="CD40" s="365"/>
      <c r="CE40" s="365"/>
      <c r="CF40" s="365"/>
      <c r="CG40" s="365"/>
      <c r="CH40" s="365"/>
    </row>
    <row r="41" spans="1:86" s="204" customFormat="1">
      <c r="A41" s="319" t="str">
        <f>languages!A527</f>
        <v>Disminución Uso Electricidad kWh</v>
      </c>
      <c r="B41" s="259" t="s">
        <v>477</v>
      </c>
      <c r="C41" s="430">
        <f>$C11*$C27</f>
        <v>0</v>
      </c>
      <c r="D41" s="430">
        <f t="shared" ref="D41:AF41" si="2">C41*(1-$C9)</f>
        <v>0</v>
      </c>
      <c r="E41" s="430">
        <f t="shared" si="2"/>
        <v>0</v>
      </c>
      <c r="F41" s="430">
        <f t="shared" si="2"/>
        <v>0</v>
      </c>
      <c r="G41" s="430">
        <f t="shared" si="2"/>
        <v>0</v>
      </c>
      <c r="H41" s="430">
        <f t="shared" si="2"/>
        <v>0</v>
      </c>
      <c r="I41" s="430">
        <f t="shared" si="2"/>
        <v>0</v>
      </c>
      <c r="J41" s="430">
        <f t="shared" si="2"/>
        <v>0</v>
      </c>
      <c r="K41" s="430">
        <f t="shared" si="2"/>
        <v>0</v>
      </c>
      <c r="L41" s="430">
        <f t="shared" si="2"/>
        <v>0</v>
      </c>
      <c r="M41" s="430">
        <f t="shared" si="2"/>
        <v>0</v>
      </c>
      <c r="N41" s="430">
        <f t="shared" si="2"/>
        <v>0</v>
      </c>
      <c r="O41" s="430">
        <f t="shared" si="2"/>
        <v>0</v>
      </c>
      <c r="P41" s="430">
        <f t="shared" si="2"/>
        <v>0</v>
      </c>
      <c r="Q41" s="430">
        <f t="shared" si="2"/>
        <v>0</v>
      </c>
      <c r="R41" s="430">
        <f t="shared" si="2"/>
        <v>0</v>
      </c>
      <c r="S41" s="430">
        <f t="shared" si="2"/>
        <v>0</v>
      </c>
      <c r="T41" s="430">
        <f t="shared" si="2"/>
        <v>0</v>
      </c>
      <c r="U41" s="430">
        <f t="shared" si="2"/>
        <v>0</v>
      </c>
      <c r="V41" s="430">
        <f t="shared" si="2"/>
        <v>0</v>
      </c>
      <c r="W41" s="430">
        <f t="shared" si="2"/>
        <v>0</v>
      </c>
      <c r="X41" s="430">
        <f t="shared" si="2"/>
        <v>0</v>
      </c>
      <c r="Y41" s="430">
        <f t="shared" si="2"/>
        <v>0</v>
      </c>
      <c r="Z41" s="430">
        <f t="shared" si="2"/>
        <v>0</v>
      </c>
      <c r="AA41" s="430">
        <f t="shared" si="2"/>
        <v>0</v>
      </c>
      <c r="AB41" s="430">
        <f t="shared" si="2"/>
        <v>0</v>
      </c>
      <c r="AC41" s="430">
        <f t="shared" si="2"/>
        <v>0</v>
      </c>
      <c r="AD41" s="430">
        <f t="shared" si="2"/>
        <v>0</v>
      </c>
      <c r="AE41" s="430">
        <f t="shared" si="2"/>
        <v>0</v>
      </c>
      <c r="AF41" s="496">
        <f t="shared" si="2"/>
        <v>0</v>
      </c>
    </row>
    <row r="42" spans="1:86" s="204" customFormat="1">
      <c r="A42" s="319" t="str">
        <f>languages!A528</f>
        <v>Inyección a la Red kWh</v>
      </c>
      <c r="B42" s="259" t="s">
        <v>477</v>
      </c>
      <c r="C42" s="430">
        <f>$C11*(1-$C27)</f>
        <v>0</v>
      </c>
      <c r="D42" s="430">
        <f t="shared" ref="D42:AF42" si="3">C42*(1-$C9)</f>
        <v>0</v>
      </c>
      <c r="E42" s="430">
        <f t="shared" si="3"/>
        <v>0</v>
      </c>
      <c r="F42" s="430">
        <f t="shared" si="3"/>
        <v>0</v>
      </c>
      <c r="G42" s="430">
        <f t="shared" si="3"/>
        <v>0</v>
      </c>
      <c r="H42" s="430">
        <f t="shared" si="3"/>
        <v>0</v>
      </c>
      <c r="I42" s="430">
        <f t="shared" si="3"/>
        <v>0</v>
      </c>
      <c r="J42" s="430">
        <f t="shared" si="3"/>
        <v>0</v>
      </c>
      <c r="K42" s="430">
        <f t="shared" si="3"/>
        <v>0</v>
      </c>
      <c r="L42" s="430">
        <f t="shared" si="3"/>
        <v>0</v>
      </c>
      <c r="M42" s="430">
        <f t="shared" si="3"/>
        <v>0</v>
      </c>
      <c r="N42" s="430">
        <f t="shared" si="3"/>
        <v>0</v>
      </c>
      <c r="O42" s="430">
        <f t="shared" si="3"/>
        <v>0</v>
      </c>
      <c r="P42" s="430">
        <f t="shared" si="3"/>
        <v>0</v>
      </c>
      <c r="Q42" s="430">
        <f t="shared" si="3"/>
        <v>0</v>
      </c>
      <c r="R42" s="430">
        <f t="shared" si="3"/>
        <v>0</v>
      </c>
      <c r="S42" s="430">
        <f t="shared" si="3"/>
        <v>0</v>
      </c>
      <c r="T42" s="430">
        <f t="shared" si="3"/>
        <v>0</v>
      </c>
      <c r="U42" s="430">
        <f t="shared" si="3"/>
        <v>0</v>
      </c>
      <c r="V42" s="430">
        <f t="shared" si="3"/>
        <v>0</v>
      </c>
      <c r="W42" s="430">
        <f t="shared" si="3"/>
        <v>0</v>
      </c>
      <c r="X42" s="430">
        <f t="shared" si="3"/>
        <v>0</v>
      </c>
      <c r="Y42" s="430">
        <f t="shared" si="3"/>
        <v>0</v>
      </c>
      <c r="Z42" s="430">
        <f t="shared" si="3"/>
        <v>0</v>
      </c>
      <c r="AA42" s="430">
        <f t="shared" si="3"/>
        <v>0</v>
      </c>
      <c r="AB42" s="430">
        <f t="shared" si="3"/>
        <v>0</v>
      </c>
      <c r="AC42" s="430">
        <f t="shared" si="3"/>
        <v>0</v>
      </c>
      <c r="AD42" s="430">
        <f t="shared" si="3"/>
        <v>0</v>
      </c>
      <c r="AE42" s="430">
        <f t="shared" si="3"/>
        <v>0</v>
      </c>
      <c r="AF42" s="496">
        <f t="shared" si="3"/>
        <v>0</v>
      </c>
    </row>
    <row r="43" spans="1:86" s="365" customFormat="1">
      <c r="A43" s="502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565"/>
    </row>
    <row r="44" spans="1:86">
      <c r="A44" s="317" t="str">
        <f>languages!A529</f>
        <v xml:space="preserve">Ingreso/Ahorro  </v>
      </c>
      <c r="B44" s="258" t="s">
        <v>209</v>
      </c>
      <c r="C44" s="392">
        <f>C41*C21</f>
        <v>0</v>
      </c>
      <c r="D44" s="392">
        <f t="shared" ref="D44:AF44" si="4">C44*(1+$C24)</f>
        <v>0</v>
      </c>
      <c r="E44" s="392">
        <f t="shared" si="4"/>
        <v>0</v>
      </c>
      <c r="F44" s="392">
        <f t="shared" si="4"/>
        <v>0</v>
      </c>
      <c r="G44" s="392">
        <f t="shared" si="4"/>
        <v>0</v>
      </c>
      <c r="H44" s="392">
        <f t="shared" si="4"/>
        <v>0</v>
      </c>
      <c r="I44" s="392">
        <f t="shared" si="4"/>
        <v>0</v>
      </c>
      <c r="J44" s="392">
        <f t="shared" si="4"/>
        <v>0</v>
      </c>
      <c r="K44" s="392">
        <f t="shared" si="4"/>
        <v>0</v>
      </c>
      <c r="L44" s="392">
        <f t="shared" si="4"/>
        <v>0</v>
      </c>
      <c r="M44" s="392">
        <f t="shared" si="4"/>
        <v>0</v>
      </c>
      <c r="N44" s="392">
        <f t="shared" si="4"/>
        <v>0</v>
      </c>
      <c r="O44" s="392">
        <f t="shared" si="4"/>
        <v>0</v>
      </c>
      <c r="P44" s="392">
        <f t="shared" si="4"/>
        <v>0</v>
      </c>
      <c r="Q44" s="392">
        <f t="shared" si="4"/>
        <v>0</v>
      </c>
      <c r="R44" s="392">
        <f t="shared" si="4"/>
        <v>0</v>
      </c>
      <c r="S44" s="392">
        <f t="shared" si="4"/>
        <v>0</v>
      </c>
      <c r="T44" s="392">
        <f t="shared" si="4"/>
        <v>0</v>
      </c>
      <c r="U44" s="392">
        <f t="shared" si="4"/>
        <v>0</v>
      </c>
      <c r="V44" s="392">
        <f t="shared" si="4"/>
        <v>0</v>
      </c>
      <c r="W44" s="392">
        <f t="shared" si="4"/>
        <v>0</v>
      </c>
      <c r="X44" s="392">
        <f t="shared" si="4"/>
        <v>0</v>
      </c>
      <c r="Y44" s="392">
        <f t="shared" si="4"/>
        <v>0</v>
      </c>
      <c r="Z44" s="392">
        <f t="shared" si="4"/>
        <v>0</v>
      </c>
      <c r="AA44" s="392">
        <f t="shared" si="4"/>
        <v>0</v>
      </c>
      <c r="AB44" s="392">
        <f t="shared" si="4"/>
        <v>0</v>
      </c>
      <c r="AC44" s="392">
        <f t="shared" si="4"/>
        <v>0</v>
      </c>
      <c r="AD44" s="392">
        <f t="shared" si="4"/>
        <v>0</v>
      </c>
      <c r="AE44" s="392">
        <f t="shared" si="4"/>
        <v>0</v>
      </c>
      <c r="AF44" s="393">
        <f t="shared" si="4"/>
        <v>0</v>
      </c>
    </row>
    <row r="45" spans="1:86">
      <c r="A45" s="317" t="str">
        <f>languages!A530</f>
        <v>Ingreso por Inyección a Red/Venta Electricidad (US$/a)</v>
      </c>
      <c r="B45" s="258" t="s">
        <v>209</v>
      </c>
      <c r="C45" s="392">
        <f>C42*C23</f>
        <v>0</v>
      </c>
      <c r="D45" s="392">
        <f>C45</f>
        <v>0</v>
      </c>
      <c r="E45" s="392">
        <f t="shared" ref="E45:AF45" si="5">D45</f>
        <v>0</v>
      </c>
      <c r="F45" s="392">
        <f t="shared" si="5"/>
        <v>0</v>
      </c>
      <c r="G45" s="392">
        <f t="shared" si="5"/>
        <v>0</v>
      </c>
      <c r="H45" s="392">
        <f t="shared" si="5"/>
        <v>0</v>
      </c>
      <c r="I45" s="392">
        <f t="shared" si="5"/>
        <v>0</v>
      </c>
      <c r="J45" s="392">
        <f t="shared" si="5"/>
        <v>0</v>
      </c>
      <c r="K45" s="392">
        <f t="shared" si="5"/>
        <v>0</v>
      </c>
      <c r="L45" s="392">
        <f t="shared" si="5"/>
        <v>0</v>
      </c>
      <c r="M45" s="392">
        <f t="shared" si="5"/>
        <v>0</v>
      </c>
      <c r="N45" s="392">
        <f t="shared" si="5"/>
        <v>0</v>
      </c>
      <c r="O45" s="392">
        <f t="shared" si="5"/>
        <v>0</v>
      </c>
      <c r="P45" s="392">
        <f t="shared" si="5"/>
        <v>0</v>
      </c>
      <c r="Q45" s="392">
        <f t="shared" si="5"/>
        <v>0</v>
      </c>
      <c r="R45" s="392">
        <f t="shared" si="5"/>
        <v>0</v>
      </c>
      <c r="S45" s="392">
        <f t="shared" si="5"/>
        <v>0</v>
      </c>
      <c r="T45" s="392">
        <f t="shared" si="5"/>
        <v>0</v>
      </c>
      <c r="U45" s="392">
        <f t="shared" si="5"/>
        <v>0</v>
      </c>
      <c r="V45" s="392">
        <f t="shared" si="5"/>
        <v>0</v>
      </c>
      <c r="W45" s="392">
        <f t="shared" si="5"/>
        <v>0</v>
      </c>
      <c r="X45" s="392">
        <f t="shared" si="5"/>
        <v>0</v>
      </c>
      <c r="Y45" s="392">
        <f t="shared" si="5"/>
        <v>0</v>
      </c>
      <c r="Z45" s="392">
        <f t="shared" si="5"/>
        <v>0</v>
      </c>
      <c r="AA45" s="392">
        <f t="shared" si="5"/>
        <v>0</v>
      </c>
      <c r="AB45" s="392">
        <f t="shared" si="5"/>
        <v>0</v>
      </c>
      <c r="AC45" s="392">
        <f t="shared" si="5"/>
        <v>0</v>
      </c>
      <c r="AD45" s="392">
        <f t="shared" si="5"/>
        <v>0</v>
      </c>
      <c r="AE45" s="392">
        <f t="shared" si="5"/>
        <v>0</v>
      </c>
      <c r="AF45" s="393">
        <f t="shared" si="5"/>
        <v>0</v>
      </c>
    </row>
    <row r="46" spans="1:86" s="204" customFormat="1">
      <c r="A46" s="319" t="str">
        <f>languages!A531</f>
        <v>Suma Ingreso Equipos/Planta</v>
      </c>
      <c r="B46" s="259" t="s">
        <v>209</v>
      </c>
      <c r="C46" s="497">
        <f>C44+C45</f>
        <v>0</v>
      </c>
      <c r="D46" s="497">
        <f t="shared" ref="D46:V46" si="6">D44+D45</f>
        <v>0</v>
      </c>
      <c r="E46" s="497">
        <f t="shared" si="6"/>
        <v>0</v>
      </c>
      <c r="F46" s="497">
        <f t="shared" si="6"/>
        <v>0</v>
      </c>
      <c r="G46" s="497">
        <f t="shared" si="6"/>
        <v>0</v>
      </c>
      <c r="H46" s="497">
        <f t="shared" si="6"/>
        <v>0</v>
      </c>
      <c r="I46" s="497">
        <f t="shared" si="6"/>
        <v>0</v>
      </c>
      <c r="J46" s="497">
        <f t="shared" si="6"/>
        <v>0</v>
      </c>
      <c r="K46" s="497">
        <f t="shared" si="6"/>
        <v>0</v>
      </c>
      <c r="L46" s="497">
        <f t="shared" si="6"/>
        <v>0</v>
      </c>
      <c r="M46" s="497">
        <f t="shared" si="6"/>
        <v>0</v>
      </c>
      <c r="N46" s="497">
        <f t="shared" si="6"/>
        <v>0</v>
      </c>
      <c r="O46" s="497">
        <f t="shared" si="6"/>
        <v>0</v>
      </c>
      <c r="P46" s="497">
        <f t="shared" si="6"/>
        <v>0</v>
      </c>
      <c r="Q46" s="497">
        <f t="shared" si="6"/>
        <v>0</v>
      </c>
      <c r="R46" s="497">
        <f t="shared" si="6"/>
        <v>0</v>
      </c>
      <c r="S46" s="497">
        <f t="shared" si="6"/>
        <v>0</v>
      </c>
      <c r="T46" s="497">
        <f t="shared" si="6"/>
        <v>0</v>
      </c>
      <c r="U46" s="497">
        <f t="shared" si="6"/>
        <v>0</v>
      </c>
      <c r="V46" s="497">
        <f t="shared" si="6"/>
        <v>0</v>
      </c>
      <c r="W46" s="497">
        <f t="shared" ref="W46:AF46" si="7">W44+W45</f>
        <v>0</v>
      </c>
      <c r="X46" s="497">
        <f t="shared" si="7"/>
        <v>0</v>
      </c>
      <c r="Y46" s="497">
        <f t="shared" si="7"/>
        <v>0</v>
      </c>
      <c r="Z46" s="497">
        <f t="shared" si="7"/>
        <v>0</v>
      </c>
      <c r="AA46" s="497">
        <f t="shared" si="7"/>
        <v>0</v>
      </c>
      <c r="AB46" s="497">
        <f t="shared" si="7"/>
        <v>0</v>
      </c>
      <c r="AC46" s="497">
        <f t="shared" si="7"/>
        <v>0</v>
      </c>
      <c r="AD46" s="497">
        <f t="shared" si="7"/>
        <v>0</v>
      </c>
      <c r="AE46" s="497">
        <f t="shared" si="7"/>
        <v>0</v>
      </c>
      <c r="AF46" s="498">
        <f t="shared" si="7"/>
        <v>0</v>
      </c>
    </row>
    <row r="47" spans="1:86" s="365" customFormat="1">
      <c r="A47" s="502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565"/>
    </row>
    <row r="48" spans="1:86">
      <c r="A48" s="317" t="str">
        <f>languages!A532</f>
        <v>Costos Personal</v>
      </c>
      <c r="B48" s="258" t="s">
        <v>209</v>
      </c>
      <c r="C48" s="392">
        <f>'Cost of operation staff'!E23</f>
        <v>0</v>
      </c>
      <c r="D48" s="392">
        <f>C48*((1+$C26))</f>
        <v>0</v>
      </c>
      <c r="E48" s="392">
        <f t="shared" ref="E48:AF48" si="8">D48*((1+$C26))</f>
        <v>0</v>
      </c>
      <c r="F48" s="392">
        <f t="shared" si="8"/>
        <v>0</v>
      </c>
      <c r="G48" s="392">
        <f t="shared" si="8"/>
        <v>0</v>
      </c>
      <c r="H48" s="392">
        <f t="shared" si="8"/>
        <v>0</v>
      </c>
      <c r="I48" s="392">
        <f t="shared" si="8"/>
        <v>0</v>
      </c>
      <c r="J48" s="392">
        <f t="shared" si="8"/>
        <v>0</v>
      </c>
      <c r="K48" s="392">
        <f t="shared" si="8"/>
        <v>0</v>
      </c>
      <c r="L48" s="392">
        <f t="shared" si="8"/>
        <v>0</v>
      </c>
      <c r="M48" s="392">
        <f t="shared" si="8"/>
        <v>0</v>
      </c>
      <c r="N48" s="392">
        <f t="shared" si="8"/>
        <v>0</v>
      </c>
      <c r="O48" s="392">
        <f t="shared" si="8"/>
        <v>0</v>
      </c>
      <c r="P48" s="392">
        <f t="shared" si="8"/>
        <v>0</v>
      </c>
      <c r="Q48" s="392">
        <f t="shared" si="8"/>
        <v>0</v>
      </c>
      <c r="R48" s="392">
        <f t="shared" si="8"/>
        <v>0</v>
      </c>
      <c r="S48" s="392">
        <f t="shared" si="8"/>
        <v>0</v>
      </c>
      <c r="T48" s="392">
        <f t="shared" si="8"/>
        <v>0</v>
      </c>
      <c r="U48" s="392">
        <f t="shared" si="8"/>
        <v>0</v>
      </c>
      <c r="V48" s="392">
        <f t="shared" si="8"/>
        <v>0</v>
      </c>
      <c r="W48" s="392">
        <f t="shared" si="8"/>
        <v>0</v>
      </c>
      <c r="X48" s="392">
        <f t="shared" si="8"/>
        <v>0</v>
      </c>
      <c r="Y48" s="392">
        <f t="shared" si="8"/>
        <v>0</v>
      </c>
      <c r="Z48" s="392">
        <f t="shared" si="8"/>
        <v>0</v>
      </c>
      <c r="AA48" s="392">
        <f t="shared" si="8"/>
        <v>0</v>
      </c>
      <c r="AB48" s="392">
        <f t="shared" si="8"/>
        <v>0</v>
      </c>
      <c r="AC48" s="392">
        <f t="shared" si="8"/>
        <v>0</v>
      </c>
      <c r="AD48" s="392">
        <f t="shared" si="8"/>
        <v>0</v>
      </c>
      <c r="AE48" s="392">
        <f t="shared" si="8"/>
        <v>0</v>
      </c>
      <c r="AF48" s="393">
        <f t="shared" si="8"/>
        <v>0</v>
      </c>
    </row>
    <row r="49" spans="1:85">
      <c r="A49" s="317" t="str">
        <f>languages!A533</f>
        <v>Costos Administrativos</v>
      </c>
      <c r="B49" s="258" t="s">
        <v>209</v>
      </c>
      <c r="C49" s="392">
        <f>'Cost of operation staff'!E36</f>
        <v>0</v>
      </c>
      <c r="D49" s="392">
        <f>C49*((1+$C26))</f>
        <v>0</v>
      </c>
      <c r="E49" s="392">
        <f t="shared" ref="E49:AF49" si="9">D49*((1+$C26))</f>
        <v>0</v>
      </c>
      <c r="F49" s="392">
        <f t="shared" si="9"/>
        <v>0</v>
      </c>
      <c r="G49" s="392">
        <f t="shared" si="9"/>
        <v>0</v>
      </c>
      <c r="H49" s="392">
        <f t="shared" si="9"/>
        <v>0</v>
      </c>
      <c r="I49" s="392">
        <f t="shared" si="9"/>
        <v>0</v>
      </c>
      <c r="J49" s="392">
        <f t="shared" si="9"/>
        <v>0</v>
      </c>
      <c r="K49" s="392">
        <f t="shared" si="9"/>
        <v>0</v>
      </c>
      <c r="L49" s="392">
        <f t="shared" si="9"/>
        <v>0</v>
      </c>
      <c r="M49" s="392">
        <f t="shared" si="9"/>
        <v>0</v>
      </c>
      <c r="N49" s="392">
        <f t="shared" si="9"/>
        <v>0</v>
      </c>
      <c r="O49" s="392">
        <f t="shared" si="9"/>
        <v>0</v>
      </c>
      <c r="P49" s="392">
        <f t="shared" si="9"/>
        <v>0</v>
      </c>
      <c r="Q49" s="392">
        <f t="shared" si="9"/>
        <v>0</v>
      </c>
      <c r="R49" s="392">
        <f t="shared" si="9"/>
        <v>0</v>
      </c>
      <c r="S49" s="392">
        <f t="shared" si="9"/>
        <v>0</v>
      </c>
      <c r="T49" s="392">
        <f t="shared" si="9"/>
        <v>0</v>
      </c>
      <c r="U49" s="392">
        <f t="shared" si="9"/>
        <v>0</v>
      </c>
      <c r="V49" s="392">
        <f t="shared" si="9"/>
        <v>0</v>
      </c>
      <c r="W49" s="392">
        <f t="shared" si="9"/>
        <v>0</v>
      </c>
      <c r="X49" s="392">
        <f t="shared" si="9"/>
        <v>0</v>
      </c>
      <c r="Y49" s="392">
        <f t="shared" si="9"/>
        <v>0</v>
      </c>
      <c r="Z49" s="392">
        <f t="shared" si="9"/>
        <v>0</v>
      </c>
      <c r="AA49" s="392">
        <f t="shared" si="9"/>
        <v>0</v>
      </c>
      <c r="AB49" s="392">
        <f t="shared" si="9"/>
        <v>0</v>
      </c>
      <c r="AC49" s="392">
        <f t="shared" si="9"/>
        <v>0</v>
      </c>
      <c r="AD49" s="392">
        <f t="shared" si="9"/>
        <v>0</v>
      </c>
      <c r="AE49" s="392">
        <f t="shared" si="9"/>
        <v>0</v>
      </c>
      <c r="AF49" s="393">
        <f t="shared" si="9"/>
        <v>0</v>
      </c>
    </row>
    <row r="50" spans="1:85">
      <c r="A50" s="317" t="str">
        <f>languages!A534</f>
        <v>Aumento Costo Combustibles</v>
      </c>
      <c r="B50" s="258" t="s">
        <v>209</v>
      </c>
      <c r="C50" s="392">
        <f>$C35</f>
        <v>0</v>
      </c>
      <c r="D50" s="392">
        <f t="shared" ref="D50:AE50" si="10">$C35*(1+$C25)^C40</f>
        <v>0</v>
      </c>
      <c r="E50" s="392">
        <f t="shared" si="10"/>
        <v>0</v>
      </c>
      <c r="F50" s="392">
        <f t="shared" si="10"/>
        <v>0</v>
      </c>
      <c r="G50" s="392">
        <f t="shared" si="10"/>
        <v>0</v>
      </c>
      <c r="H50" s="392">
        <f t="shared" si="10"/>
        <v>0</v>
      </c>
      <c r="I50" s="392">
        <f t="shared" si="10"/>
        <v>0</v>
      </c>
      <c r="J50" s="392">
        <f t="shared" si="10"/>
        <v>0</v>
      </c>
      <c r="K50" s="392">
        <f t="shared" si="10"/>
        <v>0</v>
      </c>
      <c r="L50" s="392">
        <f t="shared" si="10"/>
        <v>0</v>
      </c>
      <c r="M50" s="392">
        <f t="shared" si="10"/>
        <v>0</v>
      </c>
      <c r="N50" s="392">
        <f t="shared" si="10"/>
        <v>0</v>
      </c>
      <c r="O50" s="392">
        <f t="shared" si="10"/>
        <v>0</v>
      </c>
      <c r="P50" s="392">
        <f t="shared" si="10"/>
        <v>0</v>
      </c>
      <c r="Q50" s="392">
        <f t="shared" si="10"/>
        <v>0</v>
      </c>
      <c r="R50" s="392">
        <f t="shared" si="10"/>
        <v>0</v>
      </c>
      <c r="S50" s="392">
        <f t="shared" si="10"/>
        <v>0</v>
      </c>
      <c r="T50" s="392">
        <f t="shared" si="10"/>
        <v>0</v>
      </c>
      <c r="U50" s="392">
        <f t="shared" si="10"/>
        <v>0</v>
      </c>
      <c r="V50" s="392">
        <f t="shared" si="10"/>
        <v>0</v>
      </c>
      <c r="W50" s="392">
        <f t="shared" si="10"/>
        <v>0</v>
      </c>
      <c r="X50" s="392">
        <f t="shared" si="10"/>
        <v>0</v>
      </c>
      <c r="Y50" s="392">
        <f t="shared" si="10"/>
        <v>0</v>
      </c>
      <c r="Z50" s="392">
        <f t="shared" si="10"/>
        <v>0</v>
      </c>
      <c r="AA50" s="392">
        <f t="shared" si="10"/>
        <v>0</v>
      </c>
      <c r="AB50" s="392">
        <f t="shared" si="10"/>
        <v>0</v>
      </c>
      <c r="AC50" s="392">
        <f t="shared" si="10"/>
        <v>0</v>
      </c>
      <c r="AD50" s="392">
        <f t="shared" si="10"/>
        <v>0</v>
      </c>
      <c r="AE50" s="392">
        <f t="shared" si="10"/>
        <v>0</v>
      </c>
      <c r="AF50" s="393">
        <f>$C35*(1+$C25)^AF40</f>
        <v>0</v>
      </c>
    </row>
    <row r="51" spans="1:85" s="204" customFormat="1">
      <c r="A51" s="319" t="str">
        <f>languages!A535</f>
        <v>Costos Variables (Mantención, insumos)</v>
      </c>
      <c r="B51" s="259" t="s">
        <v>209</v>
      </c>
      <c r="C51" s="430">
        <f>(SUM($C30:$C33))</f>
        <v>0</v>
      </c>
      <c r="D51" s="430">
        <f>(SUM($C30:$C33))*(1+$C26)^C40</f>
        <v>0</v>
      </c>
      <c r="E51" s="430">
        <f t="shared" ref="E51:AF51" si="11">(SUM($C30:$C33))*(1+$C26)^D40</f>
        <v>0</v>
      </c>
      <c r="F51" s="430">
        <f t="shared" si="11"/>
        <v>0</v>
      </c>
      <c r="G51" s="430">
        <f t="shared" si="11"/>
        <v>0</v>
      </c>
      <c r="H51" s="430">
        <f t="shared" si="11"/>
        <v>0</v>
      </c>
      <c r="I51" s="430">
        <f t="shared" si="11"/>
        <v>0</v>
      </c>
      <c r="J51" s="430">
        <f t="shared" si="11"/>
        <v>0</v>
      </c>
      <c r="K51" s="430">
        <f t="shared" si="11"/>
        <v>0</v>
      </c>
      <c r="L51" s="430">
        <f t="shared" si="11"/>
        <v>0</v>
      </c>
      <c r="M51" s="430">
        <f t="shared" si="11"/>
        <v>0</v>
      </c>
      <c r="N51" s="430">
        <f t="shared" si="11"/>
        <v>0</v>
      </c>
      <c r="O51" s="430">
        <f t="shared" si="11"/>
        <v>0</v>
      </c>
      <c r="P51" s="430">
        <f t="shared" si="11"/>
        <v>0</v>
      </c>
      <c r="Q51" s="430">
        <f t="shared" si="11"/>
        <v>0</v>
      </c>
      <c r="R51" s="430">
        <f t="shared" si="11"/>
        <v>0</v>
      </c>
      <c r="S51" s="430">
        <f t="shared" si="11"/>
        <v>0</v>
      </c>
      <c r="T51" s="430">
        <f t="shared" si="11"/>
        <v>0</v>
      </c>
      <c r="U51" s="430">
        <f t="shared" si="11"/>
        <v>0</v>
      </c>
      <c r="V51" s="430">
        <f t="shared" si="11"/>
        <v>0</v>
      </c>
      <c r="W51" s="430">
        <f t="shared" si="11"/>
        <v>0</v>
      </c>
      <c r="X51" s="430">
        <f t="shared" si="11"/>
        <v>0</v>
      </c>
      <c r="Y51" s="430">
        <f t="shared" si="11"/>
        <v>0</v>
      </c>
      <c r="Z51" s="430">
        <f t="shared" si="11"/>
        <v>0</v>
      </c>
      <c r="AA51" s="430">
        <f t="shared" si="11"/>
        <v>0</v>
      </c>
      <c r="AB51" s="430">
        <f t="shared" si="11"/>
        <v>0</v>
      </c>
      <c r="AC51" s="430">
        <f t="shared" si="11"/>
        <v>0</v>
      </c>
      <c r="AD51" s="430">
        <f t="shared" si="11"/>
        <v>0</v>
      </c>
      <c r="AE51" s="430">
        <f t="shared" si="11"/>
        <v>0</v>
      </c>
      <c r="AF51" s="496">
        <f t="shared" si="11"/>
        <v>0</v>
      </c>
    </row>
    <row r="52" spans="1:85">
      <c r="A52" s="317" t="str">
        <f>languages!A536</f>
        <v>Costos Esporádicos (ej. Cambio Componente)</v>
      </c>
      <c r="B52" s="258" t="s">
        <v>206</v>
      </c>
      <c r="C52" s="510">
        <v>0</v>
      </c>
      <c r="D52" s="510">
        <v>0</v>
      </c>
      <c r="E52" s="510">
        <v>0</v>
      </c>
      <c r="F52" s="510">
        <v>0</v>
      </c>
      <c r="G52" s="510">
        <v>0</v>
      </c>
      <c r="H52" s="510">
        <v>0</v>
      </c>
      <c r="I52" s="510">
        <v>0</v>
      </c>
      <c r="J52" s="510">
        <v>0</v>
      </c>
      <c r="K52" s="510">
        <v>0</v>
      </c>
      <c r="L52" s="510">
        <v>0</v>
      </c>
      <c r="M52" s="510">
        <v>0</v>
      </c>
      <c r="N52" s="510">
        <v>0</v>
      </c>
      <c r="O52" s="510">
        <v>0</v>
      </c>
      <c r="P52" s="510">
        <v>0</v>
      </c>
      <c r="Q52" s="510">
        <v>0</v>
      </c>
      <c r="R52" s="510">
        <v>0</v>
      </c>
      <c r="S52" s="510">
        <v>0</v>
      </c>
      <c r="T52" s="510">
        <v>0</v>
      </c>
      <c r="U52" s="510">
        <v>0</v>
      </c>
      <c r="V52" s="510">
        <v>0</v>
      </c>
      <c r="W52" s="510">
        <v>0</v>
      </c>
      <c r="X52" s="510">
        <v>0</v>
      </c>
      <c r="Y52" s="510">
        <v>0</v>
      </c>
      <c r="Z52" s="510">
        <v>0</v>
      </c>
      <c r="AA52" s="510">
        <v>0</v>
      </c>
      <c r="AB52" s="510">
        <v>0</v>
      </c>
      <c r="AC52" s="510">
        <v>0</v>
      </c>
      <c r="AD52" s="510">
        <v>0</v>
      </c>
      <c r="AE52" s="510">
        <v>0</v>
      </c>
      <c r="AF52" s="514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/>
      <c r="BZ52" s="365"/>
      <c r="CA52" s="365"/>
      <c r="CB52" s="365"/>
      <c r="CC52" s="365"/>
      <c r="CD52" s="365"/>
      <c r="CE52" s="365"/>
      <c r="CF52" s="365"/>
      <c r="CG52" s="365"/>
    </row>
    <row r="53" spans="1:85" ht="16.5" thickBot="1">
      <c r="A53" s="499" t="str">
        <f>languages!A537</f>
        <v>Arriendo</v>
      </c>
      <c r="B53" s="326" t="s">
        <v>209</v>
      </c>
      <c r="C53" s="500">
        <f>C29</f>
        <v>0</v>
      </c>
      <c r="D53" s="500">
        <f>C53*((1+$C26))</f>
        <v>0</v>
      </c>
      <c r="E53" s="500">
        <f t="shared" ref="E53:AF53" si="12">D53*((1+$C26))</f>
        <v>0</v>
      </c>
      <c r="F53" s="500">
        <f t="shared" si="12"/>
        <v>0</v>
      </c>
      <c r="G53" s="500">
        <f t="shared" si="12"/>
        <v>0</v>
      </c>
      <c r="H53" s="500">
        <f t="shared" si="12"/>
        <v>0</v>
      </c>
      <c r="I53" s="500">
        <f t="shared" si="12"/>
        <v>0</v>
      </c>
      <c r="J53" s="500">
        <f t="shared" si="12"/>
        <v>0</v>
      </c>
      <c r="K53" s="500">
        <f t="shared" si="12"/>
        <v>0</v>
      </c>
      <c r="L53" s="500">
        <f t="shared" si="12"/>
        <v>0</v>
      </c>
      <c r="M53" s="500">
        <f t="shared" si="12"/>
        <v>0</v>
      </c>
      <c r="N53" s="500">
        <f t="shared" si="12"/>
        <v>0</v>
      </c>
      <c r="O53" s="500">
        <f t="shared" si="12"/>
        <v>0</v>
      </c>
      <c r="P53" s="500">
        <f t="shared" si="12"/>
        <v>0</v>
      </c>
      <c r="Q53" s="500">
        <f t="shared" si="12"/>
        <v>0</v>
      </c>
      <c r="R53" s="500">
        <f t="shared" si="12"/>
        <v>0</v>
      </c>
      <c r="S53" s="500">
        <f t="shared" si="12"/>
        <v>0</v>
      </c>
      <c r="T53" s="500">
        <f t="shared" si="12"/>
        <v>0</v>
      </c>
      <c r="U53" s="500">
        <f t="shared" si="12"/>
        <v>0</v>
      </c>
      <c r="V53" s="500">
        <f t="shared" si="12"/>
        <v>0</v>
      </c>
      <c r="W53" s="500">
        <f t="shared" si="12"/>
        <v>0</v>
      </c>
      <c r="X53" s="500">
        <f t="shared" si="12"/>
        <v>0</v>
      </c>
      <c r="Y53" s="500">
        <f t="shared" si="12"/>
        <v>0</v>
      </c>
      <c r="Z53" s="500">
        <f t="shared" si="12"/>
        <v>0</v>
      </c>
      <c r="AA53" s="500">
        <f t="shared" si="12"/>
        <v>0</v>
      </c>
      <c r="AB53" s="500">
        <f t="shared" si="12"/>
        <v>0</v>
      </c>
      <c r="AC53" s="500">
        <f t="shared" si="12"/>
        <v>0</v>
      </c>
      <c r="AD53" s="500">
        <f t="shared" si="12"/>
        <v>0</v>
      </c>
      <c r="AE53" s="500">
        <f t="shared" si="12"/>
        <v>0</v>
      </c>
      <c r="AF53" s="501">
        <f t="shared" si="12"/>
        <v>0</v>
      </c>
    </row>
    <row r="54" spans="1:85"/>
  </sheetData>
  <sheetProtection sheet="1"/>
  <mergeCells count="10">
    <mergeCell ref="B3:C3"/>
    <mergeCell ref="E5:G6"/>
    <mergeCell ref="E14:G14"/>
    <mergeCell ref="E18:G18"/>
    <mergeCell ref="A2:G2"/>
    <mergeCell ref="D3:D37"/>
    <mergeCell ref="A20:C20"/>
    <mergeCell ref="A28:C28"/>
    <mergeCell ref="A34:C34"/>
    <mergeCell ref="E3:G3"/>
  </mergeCells>
  <pageMargins left="0.70866141732283472" right="0.70866141732283472" top="0.78740157480314965" bottom="0.78740157480314965" header="0.31496062992125984" footer="0.31496062992125984"/>
  <pageSetup paperSize="9" scale="20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theme="6" tint="-0.499984740745262"/>
    <pageSetUpPr fitToPage="1"/>
  </sheetPr>
  <dimension ref="A1:BS64"/>
  <sheetViews>
    <sheetView showGridLines="0" zoomScaleNormal="100" workbookViewId="0">
      <selection activeCell="J27" sqref="J27"/>
    </sheetView>
  </sheetViews>
  <sheetFormatPr baseColWidth="10" defaultColWidth="0" defaultRowHeight="12.75" zeroHeight="1"/>
  <cols>
    <col min="1" max="1" width="44.25" style="195" customWidth="1"/>
    <col min="2" max="2" width="10.75" style="195" customWidth="1"/>
    <col min="3" max="3" width="11.875" style="195" customWidth="1"/>
    <col min="4" max="4" width="13.875" style="195" customWidth="1"/>
    <col min="5" max="7" width="11" style="195" customWidth="1"/>
    <col min="8" max="9" width="14.375" style="195" customWidth="1"/>
    <col min="10" max="10" width="13" style="195" customWidth="1"/>
    <col min="11" max="11" width="11.25" style="195" customWidth="1"/>
    <col min="12" max="12" width="8.25" style="195" customWidth="1"/>
    <col min="13" max="13" width="36.75" style="195" customWidth="1"/>
    <col min="14" max="14" width="12.125" style="195" customWidth="1"/>
    <col min="15" max="15" width="12.125" style="195" bestFit="1" customWidth="1"/>
    <col min="16" max="16" width="22.25" style="195" customWidth="1"/>
    <col min="17" max="32" width="11" style="195" customWidth="1"/>
    <col min="33" max="33" width="11" style="411" customWidth="1"/>
    <col min="34" max="71" width="0" style="411" hidden="1" customWidth="1"/>
    <col min="72" max="16384" width="0" style="195" hidden="1"/>
  </cols>
  <sheetData>
    <row r="1" spans="1:71" ht="16.5" thickBot="1">
      <c r="A1" s="194"/>
    </row>
    <row r="2" spans="1:71">
      <c r="A2" s="920" t="str">
        <f>languages!A322</f>
        <v>Eficiencia Energética</v>
      </c>
      <c r="B2" s="921"/>
      <c r="C2" s="921"/>
      <c r="D2" s="921"/>
      <c r="E2" s="921"/>
      <c r="F2" s="921"/>
      <c r="G2" s="921"/>
      <c r="H2" s="921"/>
      <c r="I2" s="921"/>
      <c r="J2" s="921"/>
      <c r="K2" s="922"/>
    </row>
    <row r="3" spans="1:71" ht="21" customHeight="1" thickBot="1">
      <c r="A3" s="923"/>
      <c r="B3" s="924"/>
      <c r="C3" s="924"/>
      <c r="D3" s="924"/>
      <c r="E3" s="924"/>
      <c r="F3" s="924"/>
      <c r="G3" s="924"/>
      <c r="H3" s="924"/>
      <c r="I3" s="924"/>
      <c r="J3" s="924"/>
      <c r="K3" s="925"/>
    </row>
    <row r="4" spans="1:71" s="675" customFormat="1" ht="53.25" customHeight="1" thickTop="1" thickBot="1">
      <c r="A4" s="672" t="str">
        <f>languages!A344</f>
        <v>Área Eléctrica</v>
      </c>
      <c r="B4" s="673" t="str">
        <f>languages!A374</f>
        <v xml:space="preserve">Inversión  </v>
      </c>
      <c r="C4" s="673" t="str">
        <f>languages!A375</f>
        <v>Ahorro kWh/a</v>
      </c>
      <c r="D4" s="673" t="str">
        <f>languages!A377</f>
        <v>Consumo Eléctrico Diurno (%)</v>
      </c>
      <c r="E4" s="673" t="str">
        <f>languages!A378</f>
        <v>Ahorro Consumo Eléctrico Diurno</v>
      </c>
      <c r="F4" s="673" t="str">
        <f>languages!A379</f>
        <v>Ahorro Consumo Eléctrico Nocturno</v>
      </c>
      <c r="G4" s="673" t="str">
        <f>languages!A380</f>
        <v>Precio Electricidad Día</v>
      </c>
      <c r="H4" s="673" t="str">
        <f>languages!A381</f>
        <v>Precio Electricidad Noche</v>
      </c>
      <c r="I4" s="910" t="str">
        <f>languages!A382</f>
        <v>Ahorro Costos Electricidad</v>
      </c>
      <c r="J4" s="911"/>
      <c r="K4" s="912"/>
      <c r="L4" s="674"/>
      <c r="AG4" s="676"/>
      <c r="AH4" s="676"/>
      <c r="AI4" s="676"/>
      <c r="AJ4" s="676"/>
      <c r="AK4" s="676"/>
      <c r="AL4" s="676"/>
      <c r="AM4" s="676"/>
      <c r="AN4" s="676"/>
      <c r="AO4" s="676"/>
      <c r="AP4" s="676"/>
      <c r="AQ4" s="676"/>
      <c r="AR4" s="676"/>
      <c r="AS4" s="676"/>
      <c r="AT4" s="676"/>
      <c r="AU4" s="676"/>
      <c r="AV4" s="676"/>
      <c r="AW4" s="676"/>
      <c r="AX4" s="676"/>
      <c r="AY4" s="676"/>
      <c r="AZ4" s="676"/>
      <c r="BA4" s="676"/>
      <c r="BB4" s="676"/>
      <c r="BC4" s="676"/>
      <c r="BD4" s="676"/>
      <c r="BE4" s="676"/>
      <c r="BF4" s="676"/>
      <c r="BG4" s="676"/>
      <c r="BH4" s="676"/>
      <c r="BI4" s="676"/>
      <c r="BJ4" s="676"/>
      <c r="BK4" s="676"/>
      <c r="BL4" s="676"/>
      <c r="BM4" s="676"/>
      <c r="BN4" s="676"/>
      <c r="BO4" s="676"/>
      <c r="BP4" s="676"/>
      <c r="BQ4" s="676"/>
      <c r="BR4" s="676"/>
      <c r="BS4" s="676"/>
    </row>
    <row r="5" spans="1:71" ht="15">
      <c r="A5" s="908"/>
      <c r="B5" s="896" t="s">
        <v>206</v>
      </c>
      <c r="C5" s="929" t="s">
        <v>167</v>
      </c>
      <c r="D5" s="896" t="s">
        <v>241</v>
      </c>
      <c r="E5" s="929" t="s">
        <v>167</v>
      </c>
      <c r="F5" s="899" t="str">
        <f>E5</f>
        <v>kWh/a</v>
      </c>
      <c r="G5" s="896" t="s">
        <v>207</v>
      </c>
      <c r="H5" s="896" t="str">
        <f>G5</f>
        <v>US$/kWh</v>
      </c>
      <c r="I5" s="684" t="s">
        <v>209</v>
      </c>
      <c r="J5" s="671"/>
      <c r="K5" s="685" t="s">
        <v>209</v>
      </c>
      <c r="L5" s="203"/>
      <c r="M5" s="917" t="str">
        <f>languages!A330</f>
        <v>Iluminación</v>
      </c>
      <c r="N5" s="918"/>
      <c r="O5" s="918"/>
      <c r="P5" s="919"/>
    </row>
    <row r="6" spans="1:71" ht="12.75" customHeight="1">
      <c r="A6" s="909"/>
      <c r="B6" s="898"/>
      <c r="C6" s="930"/>
      <c r="D6" s="897"/>
      <c r="E6" s="931"/>
      <c r="F6" s="900"/>
      <c r="G6" s="898"/>
      <c r="H6" s="897"/>
      <c r="I6" s="684" t="str">
        <f>languages!A383</f>
        <v>Esperado</v>
      </c>
      <c r="J6" s="684" t="str">
        <f>languages!A384</f>
        <v>Cuota Bancaria</v>
      </c>
      <c r="K6" s="685" t="str">
        <f>languages!A385</f>
        <v>Estimado</v>
      </c>
      <c r="M6" s="403"/>
      <c r="N6" s="198"/>
      <c r="O6" s="196" t="str">
        <f>languages!A340</f>
        <v>Antes de Saneamiento</v>
      </c>
      <c r="P6" s="404" t="str">
        <f>languages!A341</f>
        <v>Después de Saneamiento</v>
      </c>
    </row>
    <row r="7" spans="1:71">
      <c r="A7" s="403" t="str">
        <f>languages!A346</f>
        <v>Medidas Iluminación</v>
      </c>
      <c r="B7" s="518"/>
      <c r="C7" s="518"/>
      <c r="D7" s="517"/>
      <c r="E7" s="197">
        <f>C7*D7</f>
        <v>0</v>
      </c>
      <c r="F7" s="197">
        <f>(1-D7)*C7</f>
        <v>0</v>
      </c>
      <c r="G7" s="521"/>
      <c r="H7" s="521"/>
      <c r="I7" s="197">
        <f>E7*G7+F7*H7</f>
        <v>0</v>
      </c>
      <c r="J7" s="198"/>
      <c r="K7" s="406"/>
      <c r="M7" s="405" t="str">
        <f>languages!A331</f>
        <v>Potencia Instalada por Foco de Luz</v>
      </c>
      <c r="N7" s="267" t="s">
        <v>427</v>
      </c>
      <c r="O7" s="522"/>
      <c r="P7" s="523"/>
    </row>
    <row r="8" spans="1:71">
      <c r="A8" s="403" t="str">
        <f>languages!A347</f>
        <v>Medida I1</v>
      </c>
      <c r="B8" s="518"/>
      <c r="C8" s="518"/>
      <c r="D8" s="522"/>
      <c r="E8" s="197">
        <f>C8*D8</f>
        <v>0</v>
      </c>
      <c r="F8" s="197">
        <f>(1-D8)*C8</f>
        <v>0</v>
      </c>
      <c r="G8" s="521"/>
      <c r="H8" s="521"/>
      <c r="I8" s="197">
        <f>E8*G8+F8*H8</f>
        <v>0</v>
      </c>
      <c r="J8" s="198"/>
      <c r="K8" s="406"/>
      <c r="M8" s="405" t="str">
        <f>languages!A332</f>
        <v>Cantidad Focos Luz</v>
      </c>
      <c r="N8" s="198"/>
      <c r="O8" s="522"/>
      <c r="P8" s="523"/>
    </row>
    <row r="9" spans="1:71">
      <c r="A9" s="403" t="str">
        <f>languages!A348</f>
        <v>Medida I2</v>
      </c>
      <c r="B9" s="518"/>
      <c r="C9" s="518"/>
      <c r="D9" s="522"/>
      <c r="E9" s="197">
        <f>C9*D9</f>
        <v>0</v>
      </c>
      <c r="F9" s="197">
        <f>(1-D9)*C9</f>
        <v>0</v>
      </c>
      <c r="G9" s="521"/>
      <c r="H9" s="521"/>
      <c r="I9" s="197">
        <f>E9*G9+F9*H9</f>
        <v>0</v>
      </c>
      <c r="J9" s="198"/>
      <c r="K9" s="406"/>
      <c r="M9" s="405" t="str">
        <f>languages!A333</f>
        <v>Horas Uso Anual</v>
      </c>
      <c r="N9" s="267" t="s">
        <v>430</v>
      </c>
      <c r="O9" s="522"/>
      <c r="P9" s="523"/>
    </row>
    <row r="10" spans="1:71">
      <c r="A10" s="403" t="str">
        <f>languages!A349</f>
        <v>Medida I3</v>
      </c>
      <c r="B10" s="518"/>
      <c r="C10" s="518"/>
      <c r="D10" s="518"/>
      <c r="E10" s="197">
        <f>C10*D10</f>
        <v>0</v>
      </c>
      <c r="F10" s="197">
        <f>(1-D10)*C10</f>
        <v>0</v>
      </c>
      <c r="G10" s="521"/>
      <c r="H10" s="521"/>
      <c r="I10" s="197">
        <f>E10*G10+F10*H10</f>
        <v>0</v>
      </c>
      <c r="J10" s="198"/>
      <c r="K10" s="406"/>
      <c r="M10" s="405" t="str">
        <f>languages!A334</f>
        <v xml:space="preserve">Costos Inversión por Foco de Luz </v>
      </c>
      <c r="N10" s="267" t="s">
        <v>206</v>
      </c>
      <c r="O10" s="522"/>
      <c r="P10" s="523"/>
    </row>
    <row r="11" spans="1:71">
      <c r="A11" s="403" t="str">
        <f>languages!A350</f>
        <v>Medida I4</v>
      </c>
      <c r="B11" s="518"/>
      <c r="C11" s="518"/>
      <c r="D11" s="522"/>
      <c r="E11" s="197">
        <f>C11*D11</f>
        <v>0</v>
      </c>
      <c r="F11" s="197">
        <f>(1-D11)*C11</f>
        <v>0</v>
      </c>
      <c r="G11" s="521"/>
      <c r="H11" s="521"/>
      <c r="I11" s="197">
        <f>E11*G11+F11*H11</f>
        <v>0</v>
      </c>
      <c r="J11" s="198"/>
      <c r="K11" s="406"/>
      <c r="M11" s="405" t="str">
        <f>languages!A335</f>
        <v>Costos Instalación Inicial</v>
      </c>
      <c r="N11" s="267"/>
      <c r="O11" s="524"/>
      <c r="P11" s="523"/>
    </row>
    <row r="12" spans="1:71" ht="15">
      <c r="A12" s="417" t="str">
        <f>languages!A351</f>
        <v>Suma Área Eléctrica</v>
      </c>
      <c r="B12" s="199">
        <f>SUM(B7:B11)</f>
        <v>0</v>
      </c>
      <c r="C12" s="199">
        <f>SUM(C7:C11)</f>
        <v>0</v>
      </c>
      <c r="D12" s="410">
        <f>IF(C12=0,0,E12/C12)</f>
        <v>0</v>
      </c>
      <c r="E12" s="199">
        <f>SUM(E7:E11)</f>
        <v>0</v>
      </c>
      <c r="F12" s="199">
        <f>SUM(F7:F11)</f>
        <v>0</v>
      </c>
      <c r="G12" s="199"/>
      <c r="H12" s="199"/>
      <c r="I12" s="199">
        <f>SUM(I7:I11)</f>
        <v>0</v>
      </c>
      <c r="J12" s="520">
        <v>0</v>
      </c>
      <c r="K12" s="420">
        <f>I12*(100%-J12)</f>
        <v>0</v>
      </c>
      <c r="M12" s="405" t="str">
        <f>languages!A336</f>
        <v>Costos Mantención</v>
      </c>
      <c r="N12" s="267" t="str">
        <f>languages!A342</f>
        <v>US$/Foco Luz</v>
      </c>
      <c r="O12" s="522"/>
      <c r="P12" s="523"/>
    </row>
    <row r="13" spans="1:71" ht="15.75" customHeight="1">
      <c r="A13" s="916"/>
      <c r="B13" s="870"/>
      <c r="C13" s="870"/>
      <c r="D13" s="875"/>
      <c r="E13" s="870"/>
      <c r="F13" s="870"/>
      <c r="G13" s="870"/>
      <c r="H13" s="870"/>
      <c r="I13" s="870"/>
      <c r="J13" s="870"/>
      <c r="K13" s="890"/>
      <c r="M13" s="405" t="str">
        <f>languages!A337</f>
        <v>Vida Útil Foco Luz</v>
      </c>
      <c r="N13" s="267" t="s">
        <v>485</v>
      </c>
      <c r="O13" s="522"/>
      <c r="P13" s="523"/>
    </row>
    <row r="14" spans="1:71" ht="46.5" customHeight="1">
      <c r="A14" s="677" t="str">
        <f>languages!A323</f>
        <v>Área Térmica</v>
      </c>
      <c r="B14" s="678" t="str">
        <f>B4</f>
        <v xml:space="preserve">Inversión  </v>
      </c>
      <c r="C14" s="679" t="str">
        <f>C4</f>
        <v>Ahorro kWh/a</v>
      </c>
      <c r="D14" s="703"/>
      <c r="E14" s="678" t="str">
        <f>languages!A386</f>
        <v>Ahorro de Potencia</v>
      </c>
      <c r="F14" s="703"/>
      <c r="G14" s="678" t="str">
        <f>languages!A387</f>
        <v>Precio Trabajo</v>
      </c>
      <c r="H14" s="678" t="str">
        <f>languages!A388</f>
        <v>Precio Potencia</v>
      </c>
      <c r="I14" s="913" t="str">
        <f>languages!A389</f>
        <v>Ahorro Calefacción</v>
      </c>
      <c r="J14" s="914"/>
      <c r="K14" s="915"/>
      <c r="M14" s="405" t="s">
        <v>823</v>
      </c>
      <c r="N14" s="267" t="s">
        <v>167</v>
      </c>
      <c r="O14" s="406"/>
      <c r="P14" s="406">
        <f>(O7-P7)*P8*P9/1000</f>
        <v>0</v>
      </c>
    </row>
    <row r="15" spans="1:71" ht="13.5" thickBot="1">
      <c r="A15" s="908"/>
      <c r="B15" s="896" t="s">
        <v>206</v>
      </c>
      <c r="C15" s="899" t="s">
        <v>167</v>
      </c>
      <c r="D15" s="895"/>
      <c r="E15" s="896" t="s">
        <v>199</v>
      </c>
      <c r="F15" s="894"/>
      <c r="G15" s="896" t="s">
        <v>207</v>
      </c>
      <c r="H15" s="896" t="s">
        <v>211</v>
      </c>
      <c r="I15" s="702" t="s">
        <v>209</v>
      </c>
      <c r="J15" s="700"/>
      <c r="K15" s="701" t="s">
        <v>209</v>
      </c>
      <c r="M15" s="544" t="str">
        <f>languages!A339</f>
        <v>Costos Inversión (sin Planificación y Reserva)</v>
      </c>
      <c r="N15" s="407" t="s">
        <v>206</v>
      </c>
      <c r="O15" s="408"/>
      <c r="P15" s="409">
        <f>P10*P8</f>
        <v>0</v>
      </c>
    </row>
    <row r="16" spans="1:71" ht="13.5" customHeight="1">
      <c r="A16" s="909"/>
      <c r="B16" s="898"/>
      <c r="C16" s="900"/>
      <c r="D16" s="895"/>
      <c r="E16" s="897"/>
      <c r="F16" s="895"/>
      <c r="G16" s="898"/>
      <c r="H16" s="897"/>
      <c r="I16" s="702" t="str">
        <f>I6</f>
        <v>Esperado</v>
      </c>
      <c r="J16" s="702" t="str">
        <f>J6</f>
        <v>Cuota Bancaria</v>
      </c>
      <c r="K16" s="701" t="str">
        <f>K6</f>
        <v>Estimado</v>
      </c>
      <c r="M16" s="669"/>
      <c r="N16" s="669"/>
      <c r="O16" s="411"/>
      <c r="P16" s="429"/>
    </row>
    <row r="17" spans="1:12">
      <c r="A17" s="405" t="str">
        <f>languages!A354</f>
        <v>Medidas Térmicas</v>
      </c>
      <c r="B17" s="518">
        <v>0</v>
      </c>
      <c r="C17" s="680">
        <v>0</v>
      </c>
      <c r="D17" s="841"/>
      <c r="E17" s="682">
        <v>0</v>
      </c>
      <c r="F17" s="841"/>
      <c r="G17" s="521">
        <v>0</v>
      </c>
      <c r="H17" s="518">
        <v>0</v>
      </c>
      <c r="I17" s="197">
        <f t="shared" ref="I17:I22" si="0">E17*H17+C17*G17</f>
        <v>0</v>
      </c>
      <c r="J17" s="198"/>
      <c r="K17" s="421"/>
      <c r="L17" s="200"/>
    </row>
    <row r="18" spans="1:12">
      <c r="A18" s="403" t="str">
        <f>languages!A355</f>
        <v>Medida T1</v>
      </c>
      <c r="B18" s="518">
        <v>0</v>
      </c>
      <c r="C18" s="680">
        <v>0</v>
      </c>
      <c r="D18" s="841"/>
      <c r="E18" s="682"/>
      <c r="F18" s="841"/>
      <c r="G18" s="518"/>
      <c r="H18" s="518"/>
      <c r="I18" s="197">
        <f t="shared" si="0"/>
        <v>0</v>
      </c>
      <c r="J18" s="197"/>
      <c r="K18" s="406"/>
    </row>
    <row r="19" spans="1:12">
      <c r="A19" s="403" t="str">
        <f>languages!A356</f>
        <v>Medida T2</v>
      </c>
      <c r="B19" s="518">
        <v>0</v>
      </c>
      <c r="C19" s="680">
        <v>0</v>
      </c>
      <c r="D19" s="841"/>
      <c r="E19" s="682"/>
      <c r="F19" s="841"/>
      <c r="G19" s="519"/>
      <c r="H19" s="518"/>
      <c r="I19" s="197">
        <f t="shared" si="0"/>
        <v>0</v>
      </c>
      <c r="J19" s="197"/>
      <c r="K19" s="406"/>
    </row>
    <row r="20" spans="1:12">
      <c r="A20" s="403" t="str">
        <f>languages!A357</f>
        <v>Medida T3</v>
      </c>
      <c r="B20" s="518">
        <v>0</v>
      </c>
      <c r="C20" s="680">
        <v>0</v>
      </c>
      <c r="D20" s="841"/>
      <c r="E20" s="682"/>
      <c r="F20" s="841"/>
      <c r="G20" s="518"/>
      <c r="H20" s="518"/>
      <c r="I20" s="197">
        <f t="shared" si="0"/>
        <v>0</v>
      </c>
      <c r="J20" s="197"/>
      <c r="K20" s="406"/>
    </row>
    <row r="21" spans="1:12">
      <c r="A21" s="403" t="str">
        <f>languages!A358</f>
        <v>Medida T4</v>
      </c>
      <c r="B21" s="518">
        <v>0</v>
      </c>
      <c r="C21" s="680">
        <v>0</v>
      </c>
      <c r="D21" s="841"/>
      <c r="E21" s="682"/>
      <c r="F21" s="841"/>
      <c r="G21" s="518"/>
      <c r="H21" s="518"/>
      <c r="I21" s="197">
        <f t="shared" si="0"/>
        <v>0</v>
      </c>
      <c r="J21" s="197"/>
      <c r="K21" s="406"/>
      <c r="L21" s="201"/>
    </row>
    <row r="22" spans="1:12">
      <c r="A22" s="403" t="str">
        <f>languages!A359</f>
        <v>Medida T5</v>
      </c>
      <c r="B22" s="518">
        <v>0</v>
      </c>
      <c r="C22" s="680">
        <v>0</v>
      </c>
      <c r="D22" s="841"/>
      <c r="E22" s="682"/>
      <c r="F22" s="841"/>
      <c r="G22" s="518"/>
      <c r="H22" s="518"/>
      <c r="I22" s="197">
        <f t="shared" si="0"/>
        <v>0</v>
      </c>
      <c r="J22" s="198"/>
      <c r="K22" s="421"/>
      <c r="L22" s="201"/>
    </row>
    <row r="23" spans="1:12">
      <c r="A23" s="417" t="str">
        <f>languages!A360</f>
        <v>Suma Área Térmico</v>
      </c>
      <c r="B23" s="199">
        <f>SUM(B17:B22)</f>
        <v>0</v>
      </c>
      <c r="C23" s="681">
        <f>SUM(C17:C22)</f>
        <v>0</v>
      </c>
      <c r="D23" s="842"/>
      <c r="E23" s="683">
        <f>SUM(E17:E22)</f>
        <v>0</v>
      </c>
      <c r="F23" s="842"/>
      <c r="G23" s="199">
        <f>SUM(G17:G22)</f>
        <v>0</v>
      </c>
      <c r="H23" s="199">
        <f>SUM(H17:H22)</f>
        <v>0</v>
      </c>
      <c r="I23" s="199">
        <f>SUM(I17:I22)</f>
        <v>0</v>
      </c>
      <c r="J23" s="520">
        <v>0</v>
      </c>
      <c r="K23" s="422">
        <f>I23*(100%-J23)</f>
        <v>0</v>
      </c>
    </row>
    <row r="24" spans="1:12" ht="15.75">
      <c r="A24" s="916"/>
      <c r="B24" s="870"/>
      <c r="C24" s="870"/>
      <c r="D24" s="881"/>
      <c r="E24" s="875"/>
      <c r="F24" s="875"/>
      <c r="G24" s="870"/>
      <c r="H24" s="875"/>
      <c r="I24" s="870"/>
      <c r="J24" s="870"/>
      <c r="K24" s="890"/>
    </row>
    <row r="25" spans="1:12" ht="45.75" customHeight="1">
      <c r="A25" s="686" t="str">
        <f>languages!A324</f>
        <v>Área Hidráulica</v>
      </c>
      <c r="B25" s="687" t="str">
        <f>B4</f>
        <v xml:space="preserve">Inversión  </v>
      </c>
      <c r="C25" s="688" t="str">
        <f>languages!A376</f>
        <v>Ahorro</v>
      </c>
      <c r="D25" s="688"/>
      <c r="E25" s="691"/>
      <c r="F25" s="690"/>
      <c r="G25" s="691" t="str">
        <f>languages!A390</f>
        <v>Precio</v>
      </c>
      <c r="H25" s="687"/>
      <c r="I25" s="901" t="str">
        <f>languages!A391</f>
        <v>Ahorro Agua</v>
      </c>
      <c r="J25" s="902"/>
      <c r="K25" s="903"/>
    </row>
    <row r="26" spans="1:12">
      <c r="A26" s="908"/>
      <c r="B26" s="896" t="s">
        <v>206</v>
      </c>
      <c r="C26" s="899" t="s">
        <v>185</v>
      </c>
      <c r="D26" s="905"/>
      <c r="E26" s="881"/>
      <c r="F26" s="906"/>
      <c r="G26" s="896" t="s">
        <v>212</v>
      </c>
      <c r="H26" s="904"/>
      <c r="I26" s="699" t="s">
        <v>209</v>
      </c>
      <c r="J26" s="700"/>
      <c r="K26" s="701" t="s">
        <v>209</v>
      </c>
    </row>
    <row r="27" spans="1:12">
      <c r="A27" s="909"/>
      <c r="B27" s="898"/>
      <c r="C27" s="900"/>
      <c r="D27" s="905"/>
      <c r="E27" s="881"/>
      <c r="F27" s="906"/>
      <c r="G27" s="898"/>
      <c r="H27" s="904"/>
      <c r="I27" s="699" t="str">
        <f>I6</f>
        <v>Esperado</v>
      </c>
      <c r="J27" s="702" t="str">
        <f>J6</f>
        <v>Cuota Bancaria</v>
      </c>
      <c r="K27" s="701" t="str">
        <f>K6</f>
        <v>Estimado</v>
      </c>
    </row>
    <row r="28" spans="1:12">
      <c r="A28" s="403" t="str">
        <f>languages!A362</f>
        <v>Medida H1</v>
      </c>
      <c r="B28" s="518">
        <v>0</v>
      </c>
      <c r="C28" s="689"/>
      <c r="D28" s="864"/>
      <c r="E28" s="881"/>
      <c r="F28" s="906"/>
      <c r="G28" s="692">
        <v>0</v>
      </c>
      <c r="H28" s="696"/>
      <c r="I28" s="695">
        <f>G28*C28</f>
        <v>0</v>
      </c>
      <c r="J28" s="196"/>
      <c r="K28" s="404"/>
    </row>
    <row r="29" spans="1:12">
      <c r="A29" s="403" t="str">
        <f>languages!A363</f>
        <v>Medida H2</v>
      </c>
      <c r="B29" s="518">
        <v>0</v>
      </c>
      <c r="C29" s="689"/>
      <c r="D29" s="864"/>
      <c r="E29" s="881"/>
      <c r="F29" s="906"/>
      <c r="G29" s="692"/>
      <c r="H29" s="696"/>
      <c r="I29" s="695">
        <f>G29*C29</f>
        <v>0</v>
      </c>
      <c r="J29" s="196"/>
      <c r="K29" s="404"/>
    </row>
    <row r="30" spans="1:12">
      <c r="A30" s="403" t="str">
        <f>languages!A364</f>
        <v>Medida H3</v>
      </c>
      <c r="B30" s="518">
        <v>0</v>
      </c>
      <c r="C30" s="689"/>
      <c r="D30" s="864"/>
      <c r="E30" s="881"/>
      <c r="F30" s="906"/>
      <c r="G30" s="693"/>
      <c r="H30" s="697"/>
      <c r="I30" s="695">
        <f>G30*C30</f>
        <v>0</v>
      </c>
      <c r="J30" s="197"/>
      <c r="K30" s="406"/>
    </row>
    <row r="31" spans="1:12">
      <c r="A31" s="417" t="str">
        <f>languages!A366</f>
        <v>Suma Área Hidráulica</v>
      </c>
      <c r="B31" s="199">
        <f>SUM(B28:B30)</f>
        <v>0</v>
      </c>
      <c r="C31" s="681">
        <f>SUM(C28:C30)</f>
        <v>0</v>
      </c>
      <c r="D31" s="877"/>
      <c r="E31" s="872"/>
      <c r="F31" s="907"/>
      <c r="G31" s="694"/>
      <c r="H31" s="698"/>
      <c r="I31" s="683">
        <f>SUM(I28:I30)</f>
        <v>0</v>
      </c>
      <c r="J31" s="520">
        <v>0</v>
      </c>
      <c r="K31" s="422">
        <f>I31*(100%-J31)</f>
        <v>0</v>
      </c>
    </row>
    <row r="32" spans="1:12" ht="16.5" thickBot="1">
      <c r="A32" s="916"/>
      <c r="B32" s="870"/>
      <c r="C32" s="870"/>
      <c r="D32" s="872"/>
      <c r="E32" s="872"/>
      <c r="F32" s="872"/>
      <c r="G32" s="870"/>
      <c r="H32" s="872"/>
      <c r="I32" s="870"/>
      <c r="J32" s="870"/>
      <c r="K32" s="890"/>
    </row>
    <row r="33" spans="1:71" ht="18" customHeight="1" thickTop="1">
      <c r="A33" s="704"/>
      <c r="B33" s="705"/>
      <c r="C33" s="706"/>
      <c r="D33" s="706"/>
      <c r="E33" s="706"/>
      <c r="F33" s="706"/>
      <c r="G33" s="706"/>
      <c r="H33" s="706"/>
      <c r="I33" s="926"/>
      <c r="J33" s="927"/>
      <c r="K33" s="928"/>
      <c r="L33" s="203"/>
    </row>
    <row r="34" spans="1:71" ht="31.5" customHeight="1">
      <c r="A34" s="707" t="str">
        <f>languages!A367</f>
        <v>Inversion Total Medidas de Ahorro (eléctrica, calefacción e hidráulicas)</v>
      </c>
      <c r="B34" s="199">
        <f>B12+B23+B31</f>
        <v>0</v>
      </c>
      <c r="C34" s="197"/>
      <c r="D34" s="197"/>
      <c r="E34" s="197"/>
      <c r="F34" s="197"/>
      <c r="G34" s="197"/>
      <c r="H34" s="197"/>
      <c r="I34" s="197"/>
      <c r="J34" s="197"/>
      <c r="K34" s="406"/>
    </row>
    <row r="35" spans="1:71">
      <c r="A35" s="423" t="str">
        <f>languages!A368</f>
        <v>Costos Planificación (%)</v>
      </c>
      <c r="B35" s="517">
        <v>0</v>
      </c>
      <c r="C35" s="197"/>
      <c r="D35" s="197"/>
      <c r="E35" s="197"/>
      <c r="F35" s="197"/>
      <c r="G35" s="197"/>
      <c r="H35" s="197"/>
      <c r="I35" s="197"/>
      <c r="J35" s="197"/>
      <c r="K35" s="406"/>
    </row>
    <row r="36" spans="1:71">
      <c r="A36" s="423" t="str">
        <f>languages!A369</f>
        <v>Costos Planificación</v>
      </c>
      <c r="B36" s="197">
        <f>B34*B35</f>
        <v>0</v>
      </c>
      <c r="C36" s="197"/>
      <c r="D36" s="197"/>
      <c r="E36" s="197"/>
      <c r="F36" s="197"/>
      <c r="G36" s="197"/>
      <c r="H36" s="197"/>
      <c r="I36" s="197"/>
      <c r="J36" s="197"/>
      <c r="K36" s="406"/>
    </row>
    <row r="37" spans="1:71">
      <c r="A37" s="423" t="str">
        <f>languages!A373</f>
        <v xml:space="preserve">Otros Costos de Inversión </v>
      </c>
      <c r="B37" s="199">
        <f>B34+B36</f>
        <v>0</v>
      </c>
      <c r="C37" s="197" t="s">
        <v>195</v>
      </c>
      <c r="D37" s="197"/>
      <c r="E37" s="197"/>
      <c r="F37" s="197"/>
      <c r="G37" s="197"/>
      <c r="H37" s="197"/>
      <c r="I37" s="197"/>
      <c r="J37" s="197"/>
      <c r="K37" s="406"/>
    </row>
    <row r="38" spans="1:71">
      <c r="A38" s="423" t="str">
        <f>languages!A371</f>
        <v>Contingencias (%)</v>
      </c>
      <c r="B38" s="517">
        <v>0</v>
      </c>
      <c r="C38" s="197"/>
      <c r="D38" s="197"/>
      <c r="E38" s="197"/>
      <c r="F38" s="197"/>
      <c r="G38" s="197"/>
      <c r="H38" s="197"/>
      <c r="I38" s="197"/>
      <c r="J38" s="197"/>
      <c r="K38" s="406"/>
    </row>
    <row r="39" spans="1:71">
      <c r="A39" s="423" t="str">
        <f>languages!A372</f>
        <v>Contingencias en US$</v>
      </c>
      <c r="B39" s="197">
        <f>B37*B38</f>
        <v>0</v>
      </c>
      <c r="C39" s="197"/>
      <c r="D39" s="197"/>
      <c r="E39" s="197"/>
      <c r="F39" s="197"/>
      <c r="G39" s="197"/>
      <c r="H39" s="197"/>
      <c r="I39" s="197"/>
      <c r="J39" s="197"/>
      <c r="K39" s="406"/>
    </row>
    <row r="40" spans="1:71" ht="27.75" customHeight="1" thickBot="1">
      <c r="A40" s="424" t="str">
        <f>languages!A373</f>
        <v xml:space="preserve">Otros Costos de Inversión </v>
      </c>
      <c r="B40" s="425">
        <f>B37+B39</f>
        <v>0</v>
      </c>
      <c r="C40" s="426"/>
      <c r="D40" s="426"/>
      <c r="E40" s="426"/>
      <c r="F40" s="426"/>
      <c r="G40" s="426"/>
      <c r="H40" s="426"/>
      <c r="I40" s="426"/>
      <c r="J40" s="426"/>
      <c r="K40" s="409"/>
    </row>
    <row r="41" spans="1:71">
      <c r="A41" s="427"/>
      <c r="B41" s="428"/>
      <c r="C41" s="429"/>
      <c r="D41" s="429"/>
      <c r="E41" s="429"/>
      <c r="F41" s="429"/>
      <c r="G41" s="429"/>
      <c r="H41" s="429"/>
      <c r="I41" s="429"/>
      <c r="J41" s="429"/>
      <c r="K41" s="429"/>
    </row>
    <row r="42" spans="1:71" ht="15.75">
      <c r="A42" s="515" t="str">
        <f>languages!A325</f>
        <v>Vida Útil Medidas</v>
      </c>
      <c r="B42" s="670">
        <v>0</v>
      </c>
      <c r="C42" s="201"/>
      <c r="D42" s="201"/>
      <c r="E42" s="201"/>
      <c r="F42" s="201"/>
      <c r="G42" s="201"/>
      <c r="H42" s="201"/>
      <c r="I42" s="201"/>
      <c r="J42" s="201"/>
      <c r="K42" s="201"/>
    </row>
    <row r="43" spans="1:71" ht="15.75">
      <c r="A43" s="202" t="str">
        <f>languages!A392</f>
        <v>Evolución Precio Electricidad</v>
      </c>
      <c r="B43" s="666">
        <v>0</v>
      </c>
      <c r="C43" s="201"/>
      <c r="D43" s="201"/>
      <c r="E43" s="201"/>
      <c r="F43" s="201"/>
      <c r="G43" s="201"/>
      <c r="H43" s="201"/>
      <c r="I43" s="201"/>
      <c r="J43" s="201"/>
      <c r="K43" s="201"/>
    </row>
    <row r="44" spans="1:71" ht="15.75">
      <c r="A44" s="202" t="str">
        <f>languages!A393</f>
        <v xml:space="preserve">Evolución Precio Calefacción </v>
      </c>
      <c r="B44" s="666">
        <v>0</v>
      </c>
      <c r="C44" s="201"/>
      <c r="D44" s="201"/>
      <c r="E44" s="201"/>
      <c r="F44" s="201"/>
      <c r="G44" s="201"/>
      <c r="H44" s="201"/>
      <c r="I44" s="201"/>
      <c r="J44" s="201"/>
      <c r="K44" s="201"/>
    </row>
    <row r="45" spans="1:71" ht="15.75">
      <c r="A45" s="202" t="str">
        <f>languages!A394</f>
        <v>Evolución Precio Agua</v>
      </c>
      <c r="B45" s="666">
        <v>0</v>
      </c>
      <c r="C45" s="201"/>
      <c r="D45" s="201"/>
      <c r="E45" s="201"/>
      <c r="F45" s="201"/>
      <c r="G45" s="201"/>
      <c r="H45" s="201"/>
      <c r="I45" s="201"/>
      <c r="J45" s="201"/>
      <c r="K45" s="201"/>
    </row>
    <row r="46" spans="1:71" ht="15.75">
      <c r="A46" s="202" t="str">
        <f>languages!A395</f>
        <v>Evolución General de Precios</v>
      </c>
      <c r="B46" s="665">
        <f>'Main Input-Output'!B40</f>
        <v>0.03</v>
      </c>
      <c r="C46" s="201"/>
      <c r="D46" s="201"/>
      <c r="E46" s="201"/>
      <c r="F46" s="201"/>
      <c r="G46" s="201"/>
      <c r="H46" s="201"/>
      <c r="I46" s="201"/>
      <c r="J46" s="201"/>
      <c r="K46" s="201"/>
    </row>
    <row r="47" spans="1:71" ht="13.5" thickBot="1">
      <c r="B47" s="201"/>
      <c r="C47" s="201"/>
      <c r="D47" s="201"/>
      <c r="E47" s="201"/>
      <c r="F47" s="201"/>
      <c r="G47" s="201"/>
      <c r="H47" s="201"/>
      <c r="K47" s="201"/>
    </row>
    <row r="48" spans="1:71" s="198" customFormat="1">
      <c r="A48" s="412" t="str">
        <f>languages!A396</f>
        <v>Ahorro Costos Energéticos</v>
      </c>
      <c r="B48" s="413"/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54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  <c r="AU48" s="411"/>
      <c r="AV48" s="411"/>
      <c r="AW48" s="411"/>
      <c r="AX48" s="411"/>
      <c r="AY48" s="411"/>
      <c r="AZ48" s="411"/>
      <c r="BA48" s="411"/>
      <c r="BB48" s="411"/>
      <c r="BC48" s="411"/>
      <c r="BD48" s="411"/>
      <c r="BE48" s="411"/>
      <c r="BF48" s="411"/>
      <c r="BG48" s="411"/>
      <c r="BH48" s="411"/>
      <c r="BI48" s="411"/>
      <c r="BJ48" s="411"/>
      <c r="BK48" s="411"/>
      <c r="BL48" s="411"/>
      <c r="BM48" s="411"/>
      <c r="BN48" s="411"/>
      <c r="BO48" s="411"/>
      <c r="BP48" s="411"/>
      <c r="BQ48" s="411"/>
      <c r="BR48" s="411"/>
      <c r="BS48" s="411"/>
    </row>
    <row r="49" spans="1:71" s="198" customFormat="1">
      <c r="A49" s="414" t="str">
        <f>languages!A398</f>
        <v>Año</v>
      </c>
      <c r="B49" s="146"/>
      <c r="C49" s="57">
        <f>'Calc A'!B5</f>
        <v>2015</v>
      </c>
      <c r="D49" s="57">
        <f>C49+1</f>
        <v>2016</v>
      </c>
      <c r="E49" s="57">
        <f t="shared" ref="E49:V49" si="1">D49+1</f>
        <v>2017</v>
      </c>
      <c r="F49" s="57">
        <f t="shared" si="1"/>
        <v>2018</v>
      </c>
      <c r="G49" s="57">
        <f t="shared" si="1"/>
        <v>2019</v>
      </c>
      <c r="H49" s="57">
        <f t="shared" si="1"/>
        <v>2020</v>
      </c>
      <c r="I49" s="57">
        <f t="shared" si="1"/>
        <v>2021</v>
      </c>
      <c r="J49" s="57">
        <f t="shared" si="1"/>
        <v>2022</v>
      </c>
      <c r="K49" s="57">
        <f t="shared" si="1"/>
        <v>2023</v>
      </c>
      <c r="L49" s="57">
        <f t="shared" si="1"/>
        <v>2024</v>
      </c>
      <c r="M49" s="57">
        <f>L49+1</f>
        <v>2025</v>
      </c>
      <c r="N49" s="57">
        <f t="shared" si="1"/>
        <v>2026</v>
      </c>
      <c r="O49" s="57">
        <f t="shared" si="1"/>
        <v>2027</v>
      </c>
      <c r="P49" s="57">
        <f t="shared" si="1"/>
        <v>2028</v>
      </c>
      <c r="Q49" s="57">
        <f>P49+1</f>
        <v>2029</v>
      </c>
      <c r="R49" s="57">
        <f t="shared" si="1"/>
        <v>2030</v>
      </c>
      <c r="S49" s="57">
        <f t="shared" si="1"/>
        <v>2031</v>
      </c>
      <c r="T49" s="57">
        <f t="shared" si="1"/>
        <v>2032</v>
      </c>
      <c r="U49" s="57">
        <f t="shared" si="1"/>
        <v>2033</v>
      </c>
      <c r="V49" s="57">
        <f t="shared" si="1"/>
        <v>2034</v>
      </c>
      <c r="W49" s="57">
        <f t="shared" ref="W49:AF49" si="2">V49+1</f>
        <v>2035</v>
      </c>
      <c r="X49" s="57">
        <f t="shared" si="2"/>
        <v>2036</v>
      </c>
      <c r="Y49" s="57">
        <f t="shared" si="2"/>
        <v>2037</v>
      </c>
      <c r="Z49" s="57">
        <f t="shared" si="2"/>
        <v>2038</v>
      </c>
      <c r="AA49" s="57">
        <f t="shared" si="2"/>
        <v>2039</v>
      </c>
      <c r="AB49" s="57">
        <f t="shared" si="2"/>
        <v>2040</v>
      </c>
      <c r="AC49" s="57">
        <f t="shared" si="2"/>
        <v>2041</v>
      </c>
      <c r="AD49" s="57">
        <f t="shared" si="2"/>
        <v>2042</v>
      </c>
      <c r="AE49" s="57">
        <f t="shared" si="2"/>
        <v>2043</v>
      </c>
      <c r="AF49" s="415">
        <f t="shared" si="2"/>
        <v>2044</v>
      </c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  <c r="AU49" s="411"/>
      <c r="AV49" s="411"/>
      <c r="AW49" s="411"/>
      <c r="AX49" s="411"/>
      <c r="AY49" s="411"/>
      <c r="AZ49" s="411"/>
      <c r="BA49" s="411"/>
      <c r="BB49" s="411"/>
      <c r="BC49" s="411"/>
      <c r="BD49" s="411"/>
      <c r="BE49" s="411"/>
      <c r="BF49" s="411"/>
      <c r="BG49" s="411"/>
      <c r="BH49" s="411"/>
      <c r="BI49" s="411"/>
      <c r="BJ49" s="411"/>
      <c r="BK49" s="411"/>
      <c r="BL49" s="411"/>
      <c r="BM49" s="411"/>
      <c r="BN49" s="411"/>
      <c r="BO49" s="411"/>
      <c r="BP49" s="411"/>
      <c r="BQ49" s="411"/>
      <c r="BR49" s="411"/>
      <c r="BS49" s="411"/>
    </row>
    <row r="50" spans="1:71" s="198" customFormat="1">
      <c r="A50" s="414" t="str">
        <f>languages!A397</f>
        <v>Periodo</v>
      </c>
      <c r="B50" s="146"/>
      <c r="C50" s="57">
        <v>1</v>
      </c>
      <c r="D50" s="57">
        <v>2</v>
      </c>
      <c r="E50" s="57">
        <v>3</v>
      </c>
      <c r="F50" s="57">
        <v>4</v>
      </c>
      <c r="G50" s="57">
        <v>5</v>
      </c>
      <c r="H50" s="57">
        <v>6</v>
      </c>
      <c r="I50" s="57">
        <v>7</v>
      </c>
      <c r="J50" s="57">
        <v>8</v>
      </c>
      <c r="K50" s="57">
        <v>9</v>
      </c>
      <c r="L50" s="57">
        <v>10</v>
      </c>
      <c r="M50" s="57">
        <v>11</v>
      </c>
      <c r="N50" s="57">
        <v>12</v>
      </c>
      <c r="O50" s="57">
        <v>13</v>
      </c>
      <c r="P50" s="57">
        <v>14</v>
      </c>
      <c r="Q50" s="57">
        <v>15</v>
      </c>
      <c r="R50" s="57">
        <v>16</v>
      </c>
      <c r="S50" s="57">
        <v>17</v>
      </c>
      <c r="T50" s="57">
        <v>18</v>
      </c>
      <c r="U50" s="57">
        <v>19</v>
      </c>
      <c r="V50" s="57">
        <v>20</v>
      </c>
      <c r="W50" s="57">
        <v>21</v>
      </c>
      <c r="X50" s="57">
        <v>22</v>
      </c>
      <c r="Y50" s="57">
        <v>23</v>
      </c>
      <c r="Z50" s="57">
        <v>24</v>
      </c>
      <c r="AA50" s="57">
        <v>25</v>
      </c>
      <c r="AB50" s="57">
        <v>26</v>
      </c>
      <c r="AC50" s="57">
        <v>27</v>
      </c>
      <c r="AD50" s="57">
        <v>28</v>
      </c>
      <c r="AE50" s="57">
        <v>29</v>
      </c>
      <c r="AF50" s="415">
        <v>30</v>
      </c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  <c r="AU50" s="411"/>
      <c r="AV50" s="411"/>
      <c r="AW50" s="411"/>
      <c r="AX50" s="411"/>
      <c r="AY50" s="411"/>
      <c r="AZ50" s="411"/>
      <c r="BA50" s="411"/>
      <c r="BB50" s="411"/>
      <c r="BC50" s="411"/>
      <c r="BD50" s="411"/>
      <c r="BE50" s="411"/>
      <c r="BF50" s="411"/>
      <c r="BG50" s="411"/>
      <c r="BH50" s="411"/>
      <c r="BI50" s="411"/>
      <c r="BJ50" s="411"/>
      <c r="BK50" s="411"/>
      <c r="BL50" s="411"/>
      <c r="BM50" s="411"/>
      <c r="BN50" s="411"/>
      <c r="BO50" s="411"/>
      <c r="BP50" s="411"/>
      <c r="BQ50" s="411"/>
      <c r="BR50" s="411"/>
      <c r="BS50" s="411"/>
    </row>
    <row r="51" spans="1:71" s="198" customFormat="1" ht="15.75">
      <c r="A51" s="416"/>
      <c r="B51" s="402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539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  <c r="AU51" s="411"/>
      <c r="AV51" s="411"/>
      <c r="AW51" s="411"/>
      <c r="AX51" s="411"/>
      <c r="AY51" s="411"/>
      <c r="AZ51" s="411"/>
      <c r="BA51" s="411"/>
      <c r="BB51" s="411"/>
      <c r="BC51" s="411"/>
      <c r="BD51" s="411"/>
      <c r="BE51" s="411"/>
      <c r="BF51" s="411"/>
      <c r="BG51" s="411"/>
      <c r="BH51" s="411"/>
      <c r="BI51" s="411"/>
      <c r="BJ51" s="411"/>
      <c r="BK51" s="411"/>
      <c r="BL51" s="411"/>
      <c r="BM51" s="411"/>
      <c r="BN51" s="411"/>
      <c r="BO51" s="411"/>
      <c r="BP51" s="411"/>
      <c r="BQ51" s="411"/>
      <c r="BR51" s="411"/>
      <c r="BS51" s="411"/>
    </row>
    <row r="52" spans="1:71" s="198" customFormat="1">
      <c r="A52" s="405" t="str">
        <f>languages!A399</f>
        <v>Ahorro Costos Electricidad</v>
      </c>
      <c r="B52" s="267" t="s">
        <v>487</v>
      </c>
      <c r="C52" s="401">
        <f>$K12</f>
        <v>0</v>
      </c>
      <c r="D52" s="401">
        <f>$K12*(1+$B43)^C50</f>
        <v>0</v>
      </c>
      <c r="E52" s="401">
        <f t="shared" ref="E52:AF52" si="3">$K12*(1+$B43)^D50</f>
        <v>0</v>
      </c>
      <c r="F52" s="401">
        <f t="shared" si="3"/>
        <v>0</v>
      </c>
      <c r="G52" s="401">
        <f t="shared" si="3"/>
        <v>0</v>
      </c>
      <c r="H52" s="401">
        <f t="shared" si="3"/>
        <v>0</v>
      </c>
      <c r="I52" s="401">
        <f t="shared" si="3"/>
        <v>0</v>
      </c>
      <c r="J52" s="401">
        <f t="shared" si="3"/>
        <v>0</v>
      </c>
      <c r="K52" s="401">
        <f t="shared" si="3"/>
        <v>0</v>
      </c>
      <c r="L52" s="401">
        <f t="shared" si="3"/>
        <v>0</v>
      </c>
      <c r="M52" s="401">
        <f>$K12*(1+$B43)^L50</f>
        <v>0</v>
      </c>
      <c r="N52" s="401">
        <f>$K12*(1+$B43)^M50</f>
        <v>0</v>
      </c>
      <c r="O52" s="401">
        <f>$K12*(1+$B43)^N50</f>
        <v>0</v>
      </c>
      <c r="P52" s="401">
        <f>$K12*(1+$B43)^O50</f>
        <v>0</v>
      </c>
      <c r="Q52" s="401">
        <f>$K12*(1+$B43)^P50</f>
        <v>0</v>
      </c>
      <c r="R52" s="401">
        <f t="shared" si="3"/>
        <v>0</v>
      </c>
      <c r="S52" s="401">
        <f t="shared" si="3"/>
        <v>0</v>
      </c>
      <c r="T52" s="401">
        <f t="shared" si="3"/>
        <v>0</v>
      </c>
      <c r="U52" s="401">
        <f t="shared" si="3"/>
        <v>0</v>
      </c>
      <c r="V52" s="401">
        <f t="shared" si="3"/>
        <v>0</v>
      </c>
      <c r="W52" s="401">
        <f t="shared" si="3"/>
        <v>0</v>
      </c>
      <c r="X52" s="401">
        <f t="shared" si="3"/>
        <v>0</v>
      </c>
      <c r="Y52" s="401">
        <f t="shared" si="3"/>
        <v>0</v>
      </c>
      <c r="Z52" s="401">
        <f t="shared" si="3"/>
        <v>0</v>
      </c>
      <c r="AA52" s="401">
        <f t="shared" si="3"/>
        <v>0</v>
      </c>
      <c r="AB52" s="401">
        <f t="shared" si="3"/>
        <v>0</v>
      </c>
      <c r="AC52" s="401">
        <f t="shared" si="3"/>
        <v>0</v>
      </c>
      <c r="AD52" s="401">
        <f t="shared" si="3"/>
        <v>0</v>
      </c>
      <c r="AE52" s="401">
        <f t="shared" si="3"/>
        <v>0</v>
      </c>
      <c r="AF52" s="542">
        <f t="shared" si="3"/>
        <v>0</v>
      </c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  <c r="AU52" s="411"/>
      <c r="AV52" s="411"/>
      <c r="AW52" s="411"/>
      <c r="AX52" s="411"/>
      <c r="AY52" s="411"/>
      <c r="AZ52" s="411"/>
      <c r="BA52" s="411"/>
      <c r="BB52" s="411"/>
      <c r="BC52" s="411"/>
      <c r="BD52" s="411"/>
      <c r="BE52" s="411"/>
      <c r="BF52" s="411"/>
      <c r="BG52" s="411"/>
      <c r="BH52" s="411"/>
      <c r="BI52" s="411"/>
      <c r="BJ52" s="411"/>
      <c r="BK52" s="411"/>
      <c r="BL52" s="411"/>
      <c r="BM52" s="411"/>
      <c r="BN52" s="411"/>
      <c r="BO52" s="411"/>
      <c r="BP52" s="411"/>
      <c r="BQ52" s="411"/>
      <c r="BR52" s="411"/>
      <c r="BS52" s="411"/>
    </row>
    <row r="53" spans="1:71" s="198" customFormat="1">
      <c r="A53" s="405" t="str">
        <f>languages!A400</f>
        <v>Ahorro Costos Calefacción</v>
      </c>
      <c r="B53" s="267" t="s">
        <v>487</v>
      </c>
      <c r="C53" s="401">
        <f>K23</f>
        <v>0</v>
      </c>
      <c r="D53" s="401">
        <f>C53*(1+$B44)</f>
        <v>0</v>
      </c>
      <c r="E53" s="401">
        <f>D53*(1+$B44)</f>
        <v>0</v>
      </c>
      <c r="F53" s="401">
        <f>E53*(1+$B44)</f>
        <v>0</v>
      </c>
      <c r="G53" s="401">
        <f t="shared" ref="G53:AF53" si="4">F53*(1+$B44)</f>
        <v>0</v>
      </c>
      <c r="H53" s="401">
        <f t="shared" si="4"/>
        <v>0</v>
      </c>
      <c r="I53" s="401">
        <f t="shared" si="4"/>
        <v>0</v>
      </c>
      <c r="J53" s="401">
        <f t="shared" si="4"/>
        <v>0</v>
      </c>
      <c r="K53" s="401">
        <f t="shared" si="4"/>
        <v>0</v>
      </c>
      <c r="L53" s="401">
        <f t="shared" si="4"/>
        <v>0</v>
      </c>
      <c r="M53" s="401">
        <f>L53*(1+$B44)</f>
        <v>0</v>
      </c>
      <c r="N53" s="401">
        <f>M53*(1+$B44)</f>
        <v>0</v>
      </c>
      <c r="O53" s="401">
        <f>N53*(1+$B44)</f>
        <v>0</v>
      </c>
      <c r="P53" s="401">
        <f>O53*(1+$B44)</f>
        <v>0</v>
      </c>
      <c r="Q53" s="401">
        <f>P53*(1+$B44)</f>
        <v>0</v>
      </c>
      <c r="R53" s="401">
        <f t="shared" si="4"/>
        <v>0</v>
      </c>
      <c r="S53" s="401">
        <f t="shared" si="4"/>
        <v>0</v>
      </c>
      <c r="T53" s="401">
        <f t="shared" si="4"/>
        <v>0</v>
      </c>
      <c r="U53" s="401">
        <f t="shared" si="4"/>
        <v>0</v>
      </c>
      <c r="V53" s="401">
        <f t="shared" si="4"/>
        <v>0</v>
      </c>
      <c r="W53" s="401">
        <f t="shared" si="4"/>
        <v>0</v>
      </c>
      <c r="X53" s="401">
        <f t="shared" si="4"/>
        <v>0</v>
      </c>
      <c r="Y53" s="401">
        <f t="shared" si="4"/>
        <v>0</v>
      </c>
      <c r="Z53" s="401">
        <f t="shared" si="4"/>
        <v>0</v>
      </c>
      <c r="AA53" s="401">
        <f t="shared" si="4"/>
        <v>0</v>
      </c>
      <c r="AB53" s="401">
        <f t="shared" si="4"/>
        <v>0</v>
      </c>
      <c r="AC53" s="401">
        <f t="shared" si="4"/>
        <v>0</v>
      </c>
      <c r="AD53" s="401">
        <f t="shared" si="4"/>
        <v>0</v>
      </c>
      <c r="AE53" s="401">
        <f t="shared" si="4"/>
        <v>0</v>
      </c>
      <c r="AF53" s="542">
        <f t="shared" si="4"/>
        <v>0</v>
      </c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  <c r="AU53" s="411"/>
      <c r="AV53" s="411"/>
      <c r="AW53" s="411"/>
      <c r="AX53" s="411"/>
      <c r="AY53" s="411"/>
      <c r="AZ53" s="411"/>
      <c r="BA53" s="411"/>
      <c r="BB53" s="411"/>
      <c r="BC53" s="411"/>
      <c r="BD53" s="411"/>
      <c r="BE53" s="411"/>
      <c r="BF53" s="411"/>
      <c r="BG53" s="411"/>
      <c r="BH53" s="411"/>
      <c r="BI53" s="411"/>
      <c r="BJ53" s="411"/>
      <c r="BK53" s="411"/>
      <c r="BL53" s="411"/>
      <c r="BM53" s="411"/>
      <c r="BN53" s="411"/>
      <c r="BO53" s="411"/>
      <c r="BP53" s="411"/>
      <c r="BQ53" s="411"/>
      <c r="BR53" s="411"/>
      <c r="BS53" s="411"/>
    </row>
    <row r="54" spans="1:71" s="198" customFormat="1">
      <c r="A54" s="405" t="str">
        <f>languages!A401</f>
        <v>Ahorro Costos Agua</v>
      </c>
      <c r="B54" s="267" t="s">
        <v>487</v>
      </c>
      <c r="C54" s="401">
        <f>K31</f>
        <v>0</v>
      </c>
      <c r="D54" s="401">
        <f>C54*(1+B45)</f>
        <v>0</v>
      </c>
      <c r="E54" s="401">
        <f>D54*(1+C45)</f>
        <v>0</v>
      </c>
      <c r="F54" s="401">
        <f t="shared" ref="F54:AF54" si="5">E54*(1+D45)</f>
        <v>0</v>
      </c>
      <c r="G54" s="401">
        <f t="shared" si="5"/>
        <v>0</v>
      </c>
      <c r="H54" s="401">
        <f t="shared" si="5"/>
        <v>0</v>
      </c>
      <c r="I54" s="401">
        <f t="shared" si="5"/>
        <v>0</v>
      </c>
      <c r="J54" s="401">
        <f t="shared" si="5"/>
        <v>0</v>
      </c>
      <c r="K54" s="401">
        <f t="shared" si="5"/>
        <v>0</v>
      </c>
      <c r="L54" s="401">
        <f t="shared" si="5"/>
        <v>0</v>
      </c>
      <c r="M54" s="401">
        <f>L54*(1+K45)</f>
        <v>0</v>
      </c>
      <c r="N54" s="401">
        <f>M54*(1+L45)</f>
        <v>0</v>
      </c>
      <c r="O54" s="401">
        <f>N54*(1+M44)</f>
        <v>0</v>
      </c>
      <c r="P54" s="401">
        <f>O54*(1+N44)</f>
        <v>0</v>
      </c>
      <c r="Q54" s="401">
        <f>P54*(1+O44)</f>
        <v>0</v>
      </c>
      <c r="R54" s="401">
        <f>Q54*(1+P44)</f>
        <v>0</v>
      </c>
      <c r="S54" s="401">
        <f t="shared" si="5"/>
        <v>0</v>
      </c>
      <c r="T54" s="401">
        <f t="shared" si="5"/>
        <v>0</v>
      </c>
      <c r="U54" s="401">
        <f t="shared" si="5"/>
        <v>0</v>
      </c>
      <c r="V54" s="401">
        <f t="shared" si="5"/>
        <v>0</v>
      </c>
      <c r="W54" s="401">
        <f t="shared" si="5"/>
        <v>0</v>
      </c>
      <c r="X54" s="401">
        <f t="shared" si="5"/>
        <v>0</v>
      </c>
      <c r="Y54" s="401">
        <f t="shared" si="5"/>
        <v>0</v>
      </c>
      <c r="Z54" s="401">
        <f t="shared" si="5"/>
        <v>0</v>
      </c>
      <c r="AA54" s="401">
        <f t="shared" si="5"/>
        <v>0</v>
      </c>
      <c r="AB54" s="401">
        <f t="shared" si="5"/>
        <v>0</v>
      </c>
      <c r="AC54" s="401">
        <f t="shared" si="5"/>
        <v>0</v>
      </c>
      <c r="AD54" s="401">
        <f t="shared" si="5"/>
        <v>0</v>
      </c>
      <c r="AE54" s="401">
        <f t="shared" si="5"/>
        <v>0</v>
      </c>
      <c r="AF54" s="542">
        <f t="shared" si="5"/>
        <v>0</v>
      </c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  <c r="AU54" s="411"/>
      <c r="AV54" s="411"/>
      <c r="AW54" s="411"/>
      <c r="AX54" s="411"/>
      <c r="AY54" s="411"/>
      <c r="AZ54" s="411"/>
      <c r="BA54" s="411"/>
      <c r="BB54" s="411"/>
      <c r="BC54" s="411"/>
      <c r="BD54" s="411"/>
      <c r="BE54" s="411"/>
      <c r="BF54" s="411"/>
      <c r="BG54" s="411"/>
      <c r="BH54" s="411"/>
      <c r="BI54" s="411"/>
      <c r="BJ54" s="411"/>
      <c r="BK54" s="411"/>
      <c r="BL54" s="411"/>
      <c r="BM54" s="411"/>
      <c r="BN54" s="411"/>
      <c r="BO54" s="411"/>
      <c r="BP54" s="411"/>
      <c r="BQ54" s="411"/>
      <c r="BR54" s="411"/>
      <c r="BS54" s="411"/>
    </row>
    <row r="55" spans="1:71" s="198" customFormat="1">
      <c r="A55" s="417" t="str">
        <f>languages!A402</f>
        <v>Total Ahorro</v>
      </c>
      <c r="B55" s="267" t="s">
        <v>487</v>
      </c>
      <c r="C55" s="418">
        <f t="shared" ref="C55:AF55" si="6">C52+C53+C54</f>
        <v>0</v>
      </c>
      <c r="D55" s="418">
        <f t="shared" si="6"/>
        <v>0</v>
      </c>
      <c r="E55" s="418">
        <f t="shared" si="6"/>
        <v>0</v>
      </c>
      <c r="F55" s="418">
        <f t="shared" si="6"/>
        <v>0</v>
      </c>
      <c r="G55" s="418">
        <f t="shared" si="6"/>
        <v>0</v>
      </c>
      <c r="H55" s="418">
        <f t="shared" si="6"/>
        <v>0</v>
      </c>
      <c r="I55" s="418">
        <f t="shared" si="6"/>
        <v>0</v>
      </c>
      <c r="J55" s="418">
        <f t="shared" si="6"/>
        <v>0</v>
      </c>
      <c r="K55" s="418">
        <f t="shared" si="6"/>
        <v>0</v>
      </c>
      <c r="L55" s="418">
        <f t="shared" si="6"/>
        <v>0</v>
      </c>
      <c r="M55" s="418">
        <f t="shared" si="6"/>
        <v>0</v>
      </c>
      <c r="N55" s="418">
        <f t="shared" si="6"/>
        <v>0</v>
      </c>
      <c r="O55" s="418">
        <f t="shared" si="6"/>
        <v>0</v>
      </c>
      <c r="P55" s="418">
        <f t="shared" si="6"/>
        <v>0</v>
      </c>
      <c r="Q55" s="418">
        <f t="shared" si="6"/>
        <v>0</v>
      </c>
      <c r="R55" s="418">
        <f t="shared" si="6"/>
        <v>0</v>
      </c>
      <c r="S55" s="418">
        <f t="shared" si="6"/>
        <v>0</v>
      </c>
      <c r="T55" s="418">
        <f t="shared" si="6"/>
        <v>0</v>
      </c>
      <c r="U55" s="418">
        <f t="shared" si="6"/>
        <v>0</v>
      </c>
      <c r="V55" s="418">
        <f t="shared" si="6"/>
        <v>0</v>
      </c>
      <c r="W55" s="418">
        <f t="shared" si="6"/>
        <v>0</v>
      </c>
      <c r="X55" s="418">
        <f t="shared" si="6"/>
        <v>0</v>
      </c>
      <c r="Y55" s="418">
        <f t="shared" si="6"/>
        <v>0</v>
      </c>
      <c r="Z55" s="418">
        <f t="shared" si="6"/>
        <v>0</v>
      </c>
      <c r="AA55" s="418">
        <f t="shared" si="6"/>
        <v>0</v>
      </c>
      <c r="AB55" s="418">
        <f t="shared" si="6"/>
        <v>0</v>
      </c>
      <c r="AC55" s="418">
        <f t="shared" si="6"/>
        <v>0</v>
      </c>
      <c r="AD55" s="418">
        <f t="shared" si="6"/>
        <v>0</v>
      </c>
      <c r="AE55" s="418">
        <f t="shared" si="6"/>
        <v>0</v>
      </c>
      <c r="AF55" s="419">
        <f t="shared" si="6"/>
        <v>0</v>
      </c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  <c r="AU55" s="411"/>
      <c r="AV55" s="411"/>
      <c r="AW55" s="411"/>
      <c r="AX55" s="411"/>
      <c r="AY55" s="411"/>
      <c r="AZ55" s="411"/>
      <c r="BA55" s="411"/>
      <c r="BB55" s="411"/>
      <c r="BC55" s="411"/>
      <c r="BD55" s="411"/>
      <c r="BE55" s="411"/>
      <c r="BF55" s="411"/>
      <c r="BG55" s="411"/>
      <c r="BH55" s="411"/>
      <c r="BI55" s="411"/>
      <c r="BJ55" s="411"/>
      <c r="BK55" s="411"/>
      <c r="BL55" s="411"/>
      <c r="BM55" s="411"/>
      <c r="BN55" s="411"/>
      <c r="BO55" s="411"/>
      <c r="BP55" s="411"/>
      <c r="BQ55" s="411"/>
      <c r="BR55" s="411"/>
      <c r="BS55" s="411"/>
    </row>
    <row r="56" spans="1:71" s="198" customFormat="1" ht="15.75">
      <c r="A56" s="416"/>
      <c r="B56" s="402"/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  <c r="Z56" s="402"/>
      <c r="AA56" s="402"/>
      <c r="AB56" s="402"/>
      <c r="AC56" s="402"/>
      <c r="AD56" s="402"/>
      <c r="AE56" s="402"/>
      <c r="AF56" s="539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  <c r="AU56" s="411"/>
      <c r="AV56" s="411"/>
      <c r="AW56" s="411"/>
      <c r="AX56" s="411"/>
      <c r="AY56" s="411"/>
      <c r="AZ56" s="411"/>
      <c r="BA56" s="411"/>
      <c r="BB56" s="411"/>
      <c r="BC56" s="411"/>
      <c r="BD56" s="411"/>
      <c r="BE56" s="411"/>
      <c r="BF56" s="411"/>
      <c r="BG56" s="411"/>
      <c r="BH56" s="411"/>
      <c r="BI56" s="411"/>
      <c r="BJ56" s="411"/>
      <c r="BK56" s="411"/>
      <c r="BL56" s="411"/>
      <c r="BM56" s="411"/>
      <c r="BN56" s="411"/>
      <c r="BO56" s="411"/>
      <c r="BP56" s="411"/>
      <c r="BQ56" s="411"/>
      <c r="BR56" s="411"/>
      <c r="BS56" s="411"/>
    </row>
    <row r="57" spans="1:71" s="198" customFormat="1">
      <c r="A57" s="405" t="str">
        <f>languages!A326</f>
        <v>Costos RRHH</v>
      </c>
      <c r="B57" s="267" t="s">
        <v>209</v>
      </c>
      <c r="C57" s="401">
        <f>'Cost of operation staff'!E23</f>
        <v>0</v>
      </c>
      <c r="D57" s="401">
        <f>C57*(1+$B46)</f>
        <v>0</v>
      </c>
      <c r="E57" s="401">
        <f t="shared" ref="E57:AF57" si="7">D57*(1+$B46)</f>
        <v>0</v>
      </c>
      <c r="F57" s="401">
        <f t="shared" si="7"/>
        <v>0</v>
      </c>
      <c r="G57" s="401">
        <f t="shared" si="7"/>
        <v>0</v>
      </c>
      <c r="H57" s="401">
        <f t="shared" si="7"/>
        <v>0</v>
      </c>
      <c r="I57" s="401">
        <f t="shared" si="7"/>
        <v>0</v>
      </c>
      <c r="J57" s="401">
        <f t="shared" si="7"/>
        <v>0</v>
      </c>
      <c r="K57" s="401">
        <f t="shared" si="7"/>
        <v>0</v>
      </c>
      <c r="L57" s="401">
        <f t="shared" si="7"/>
        <v>0</v>
      </c>
      <c r="M57" s="401">
        <f t="shared" si="7"/>
        <v>0</v>
      </c>
      <c r="N57" s="401">
        <f t="shared" si="7"/>
        <v>0</v>
      </c>
      <c r="O57" s="401">
        <f t="shared" si="7"/>
        <v>0</v>
      </c>
      <c r="P57" s="401">
        <f t="shared" si="7"/>
        <v>0</v>
      </c>
      <c r="Q57" s="401">
        <f t="shared" si="7"/>
        <v>0</v>
      </c>
      <c r="R57" s="401">
        <f t="shared" si="7"/>
        <v>0</v>
      </c>
      <c r="S57" s="401">
        <f t="shared" si="7"/>
        <v>0</v>
      </c>
      <c r="T57" s="401">
        <f t="shared" si="7"/>
        <v>0</v>
      </c>
      <c r="U57" s="401">
        <f t="shared" si="7"/>
        <v>0</v>
      </c>
      <c r="V57" s="401">
        <f t="shared" si="7"/>
        <v>0</v>
      </c>
      <c r="W57" s="401">
        <f t="shared" si="7"/>
        <v>0</v>
      </c>
      <c r="X57" s="401">
        <f t="shared" si="7"/>
        <v>0</v>
      </c>
      <c r="Y57" s="401">
        <f t="shared" si="7"/>
        <v>0</v>
      </c>
      <c r="Z57" s="401">
        <f t="shared" si="7"/>
        <v>0</v>
      </c>
      <c r="AA57" s="401">
        <f t="shared" si="7"/>
        <v>0</v>
      </c>
      <c r="AB57" s="401">
        <f t="shared" si="7"/>
        <v>0</v>
      </c>
      <c r="AC57" s="401">
        <f t="shared" si="7"/>
        <v>0</v>
      </c>
      <c r="AD57" s="401">
        <f t="shared" si="7"/>
        <v>0</v>
      </c>
      <c r="AE57" s="401">
        <f t="shared" si="7"/>
        <v>0</v>
      </c>
      <c r="AF57" s="542">
        <f t="shared" si="7"/>
        <v>0</v>
      </c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  <c r="AU57" s="411"/>
      <c r="AV57" s="411"/>
      <c r="AW57" s="411"/>
      <c r="AX57" s="411"/>
      <c r="AY57" s="411"/>
      <c r="AZ57" s="411"/>
      <c r="BA57" s="411"/>
      <c r="BB57" s="411"/>
      <c r="BC57" s="411"/>
      <c r="BD57" s="411"/>
      <c r="BE57" s="411"/>
      <c r="BF57" s="411"/>
      <c r="BG57" s="411"/>
      <c r="BH57" s="411"/>
      <c r="BI57" s="411"/>
      <c r="BJ57" s="411"/>
      <c r="BK57" s="411"/>
      <c r="BL57" s="411"/>
      <c r="BM57" s="411"/>
      <c r="BN57" s="411"/>
      <c r="BO57" s="411"/>
      <c r="BP57" s="411"/>
      <c r="BQ57" s="411"/>
      <c r="BR57" s="411"/>
      <c r="BS57" s="411"/>
    </row>
    <row r="58" spans="1:71" s="198" customFormat="1">
      <c r="A58" s="405" t="str">
        <f>languages!A327</f>
        <v>Costos Administrativos</v>
      </c>
      <c r="B58" s="267" t="s">
        <v>209</v>
      </c>
      <c r="C58" s="401">
        <f>'Cost of operation staff'!E36</f>
        <v>0</v>
      </c>
      <c r="D58" s="401">
        <f>C58*(1+$B46)</f>
        <v>0</v>
      </c>
      <c r="E58" s="401">
        <f t="shared" ref="E58:AF58" si="8">D58*(1+$B46)</f>
        <v>0</v>
      </c>
      <c r="F58" s="401">
        <f t="shared" si="8"/>
        <v>0</v>
      </c>
      <c r="G58" s="401">
        <f t="shared" si="8"/>
        <v>0</v>
      </c>
      <c r="H58" s="401">
        <f t="shared" si="8"/>
        <v>0</v>
      </c>
      <c r="I58" s="401">
        <f t="shared" si="8"/>
        <v>0</v>
      </c>
      <c r="J58" s="401">
        <f t="shared" si="8"/>
        <v>0</v>
      </c>
      <c r="K58" s="401">
        <f t="shared" si="8"/>
        <v>0</v>
      </c>
      <c r="L58" s="401">
        <f t="shared" si="8"/>
        <v>0</v>
      </c>
      <c r="M58" s="401">
        <f t="shared" si="8"/>
        <v>0</v>
      </c>
      <c r="N58" s="401">
        <f t="shared" si="8"/>
        <v>0</v>
      </c>
      <c r="O58" s="401">
        <f t="shared" si="8"/>
        <v>0</v>
      </c>
      <c r="P58" s="401">
        <f t="shared" si="8"/>
        <v>0</v>
      </c>
      <c r="Q58" s="401">
        <f t="shared" si="8"/>
        <v>0</v>
      </c>
      <c r="R58" s="401">
        <f t="shared" si="8"/>
        <v>0</v>
      </c>
      <c r="S58" s="401">
        <f t="shared" si="8"/>
        <v>0</v>
      </c>
      <c r="T58" s="401">
        <f t="shared" si="8"/>
        <v>0</v>
      </c>
      <c r="U58" s="401">
        <f t="shared" si="8"/>
        <v>0</v>
      </c>
      <c r="V58" s="401">
        <f t="shared" si="8"/>
        <v>0</v>
      </c>
      <c r="W58" s="401">
        <f t="shared" si="8"/>
        <v>0</v>
      </c>
      <c r="X58" s="401">
        <f t="shared" si="8"/>
        <v>0</v>
      </c>
      <c r="Y58" s="401">
        <f t="shared" si="8"/>
        <v>0</v>
      </c>
      <c r="Z58" s="401">
        <f t="shared" si="8"/>
        <v>0</v>
      </c>
      <c r="AA58" s="401">
        <f t="shared" si="8"/>
        <v>0</v>
      </c>
      <c r="AB58" s="401">
        <f t="shared" si="8"/>
        <v>0</v>
      </c>
      <c r="AC58" s="401">
        <f t="shared" si="8"/>
        <v>0</v>
      </c>
      <c r="AD58" s="401">
        <f t="shared" si="8"/>
        <v>0</v>
      </c>
      <c r="AE58" s="401">
        <f t="shared" si="8"/>
        <v>0</v>
      </c>
      <c r="AF58" s="542">
        <f t="shared" si="8"/>
        <v>0</v>
      </c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  <c r="AU58" s="411"/>
      <c r="AV58" s="411"/>
      <c r="AW58" s="411"/>
      <c r="AX58" s="411"/>
      <c r="AY58" s="411"/>
      <c r="AZ58" s="411"/>
      <c r="BA58" s="411"/>
      <c r="BB58" s="411"/>
      <c r="BC58" s="411"/>
      <c r="BD58" s="411"/>
      <c r="BE58" s="411"/>
      <c r="BF58" s="411"/>
      <c r="BG58" s="411"/>
      <c r="BH58" s="411"/>
      <c r="BI58" s="411"/>
      <c r="BJ58" s="411"/>
      <c r="BK58" s="411"/>
      <c r="BL58" s="411"/>
      <c r="BM58" s="411"/>
      <c r="BN58" s="411"/>
      <c r="BO58" s="411"/>
      <c r="BP58" s="411"/>
      <c r="BQ58" s="411"/>
      <c r="BR58" s="411"/>
      <c r="BS58" s="411"/>
    </row>
    <row r="59" spans="1:71" s="198" customFormat="1">
      <c r="A59" s="416" t="str">
        <f>languages!A403</f>
        <v>Costo Anual Medidas Eléctricas</v>
      </c>
      <c r="B59" s="267" t="s">
        <v>209</v>
      </c>
      <c r="C59" s="516">
        <v>0</v>
      </c>
      <c r="D59" s="401">
        <f>C59*(1+$B46)</f>
        <v>0</v>
      </c>
      <c r="E59" s="401">
        <f t="shared" ref="E59:AF59" si="9">D59*(1+$B46)</f>
        <v>0</v>
      </c>
      <c r="F59" s="401">
        <f t="shared" si="9"/>
        <v>0</v>
      </c>
      <c r="G59" s="401">
        <f t="shared" si="9"/>
        <v>0</v>
      </c>
      <c r="H59" s="401">
        <f t="shared" si="9"/>
        <v>0</v>
      </c>
      <c r="I59" s="401">
        <f t="shared" si="9"/>
        <v>0</v>
      </c>
      <c r="J59" s="401">
        <f t="shared" si="9"/>
        <v>0</v>
      </c>
      <c r="K59" s="401">
        <f t="shared" si="9"/>
        <v>0</v>
      </c>
      <c r="L59" s="401">
        <f t="shared" si="9"/>
        <v>0</v>
      </c>
      <c r="M59" s="401">
        <f>L59*(1+$B46)</f>
        <v>0</v>
      </c>
      <c r="N59" s="401">
        <f>M59*(1+$B46)</f>
        <v>0</v>
      </c>
      <c r="O59" s="401">
        <f>N59*(1+$B46)</f>
        <v>0</v>
      </c>
      <c r="P59" s="401">
        <f>O59*(1+$B46)</f>
        <v>0</v>
      </c>
      <c r="Q59" s="401">
        <f>P59*(1+$B46)</f>
        <v>0</v>
      </c>
      <c r="R59" s="401">
        <f t="shared" si="9"/>
        <v>0</v>
      </c>
      <c r="S59" s="401">
        <f t="shared" si="9"/>
        <v>0</v>
      </c>
      <c r="T59" s="401">
        <f t="shared" si="9"/>
        <v>0</v>
      </c>
      <c r="U59" s="401">
        <f t="shared" si="9"/>
        <v>0</v>
      </c>
      <c r="V59" s="401">
        <f t="shared" si="9"/>
        <v>0</v>
      </c>
      <c r="W59" s="401">
        <f t="shared" si="9"/>
        <v>0</v>
      </c>
      <c r="X59" s="401">
        <f t="shared" si="9"/>
        <v>0</v>
      </c>
      <c r="Y59" s="401">
        <f t="shared" si="9"/>
        <v>0</v>
      </c>
      <c r="Z59" s="401">
        <f t="shared" si="9"/>
        <v>0</v>
      </c>
      <c r="AA59" s="401">
        <f t="shared" si="9"/>
        <v>0</v>
      </c>
      <c r="AB59" s="401">
        <f t="shared" si="9"/>
        <v>0</v>
      </c>
      <c r="AC59" s="401">
        <f t="shared" si="9"/>
        <v>0</v>
      </c>
      <c r="AD59" s="401">
        <f t="shared" si="9"/>
        <v>0</v>
      </c>
      <c r="AE59" s="401">
        <f t="shared" si="9"/>
        <v>0</v>
      </c>
      <c r="AF59" s="542">
        <f t="shared" si="9"/>
        <v>0</v>
      </c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  <c r="AU59" s="411"/>
      <c r="AV59" s="411"/>
      <c r="AW59" s="411"/>
      <c r="AX59" s="411"/>
      <c r="AY59" s="411"/>
      <c r="AZ59" s="411"/>
      <c r="BA59" s="411"/>
      <c r="BB59" s="411"/>
      <c r="BC59" s="411"/>
      <c r="BD59" s="411"/>
      <c r="BE59" s="411"/>
      <c r="BF59" s="411"/>
      <c r="BG59" s="411"/>
      <c r="BH59" s="411"/>
      <c r="BI59" s="411"/>
      <c r="BJ59" s="411"/>
      <c r="BK59" s="411"/>
      <c r="BL59" s="411"/>
      <c r="BM59" s="411"/>
      <c r="BN59" s="411"/>
      <c r="BO59" s="411"/>
      <c r="BP59" s="411"/>
      <c r="BQ59" s="411"/>
      <c r="BR59" s="411"/>
      <c r="BS59" s="411"/>
    </row>
    <row r="60" spans="1:71" s="198" customFormat="1">
      <c r="A60" s="416" t="str">
        <f>languages!A404</f>
        <v>Costo Anual Medidas Calefacción</v>
      </c>
      <c r="B60" s="267" t="s">
        <v>209</v>
      </c>
      <c r="C60" s="516">
        <v>0</v>
      </c>
      <c r="D60" s="401">
        <f>C60*(1+$B46)</f>
        <v>0</v>
      </c>
      <c r="E60" s="401">
        <f t="shared" ref="E60:AF60" si="10">D60*(1+$B46)</f>
        <v>0</v>
      </c>
      <c r="F60" s="401">
        <f t="shared" si="10"/>
        <v>0</v>
      </c>
      <c r="G60" s="401">
        <f t="shared" si="10"/>
        <v>0</v>
      </c>
      <c r="H60" s="401">
        <f t="shared" si="10"/>
        <v>0</v>
      </c>
      <c r="I60" s="401">
        <f t="shared" si="10"/>
        <v>0</v>
      </c>
      <c r="J60" s="401">
        <f t="shared" si="10"/>
        <v>0</v>
      </c>
      <c r="K60" s="401">
        <f t="shared" si="10"/>
        <v>0</v>
      </c>
      <c r="L60" s="401">
        <f t="shared" si="10"/>
        <v>0</v>
      </c>
      <c r="M60" s="401">
        <f t="shared" si="10"/>
        <v>0</v>
      </c>
      <c r="N60" s="401">
        <f t="shared" si="10"/>
        <v>0</v>
      </c>
      <c r="O60" s="401">
        <f t="shared" si="10"/>
        <v>0</v>
      </c>
      <c r="P60" s="401">
        <f t="shared" si="10"/>
        <v>0</v>
      </c>
      <c r="Q60" s="401">
        <f t="shared" si="10"/>
        <v>0</v>
      </c>
      <c r="R60" s="401">
        <f t="shared" si="10"/>
        <v>0</v>
      </c>
      <c r="S60" s="401">
        <f t="shared" si="10"/>
        <v>0</v>
      </c>
      <c r="T60" s="401">
        <f t="shared" si="10"/>
        <v>0</v>
      </c>
      <c r="U60" s="401">
        <f t="shared" si="10"/>
        <v>0</v>
      </c>
      <c r="V60" s="401">
        <f t="shared" si="10"/>
        <v>0</v>
      </c>
      <c r="W60" s="401">
        <f t="shared" si="10"/>
        <v>0</v>
      </c>
      <c r="X60" s="401">
        <f t="shared" si="10"/>
        <v>0</v>
      </c>
      <c r="Y60" s="401">
        <f t="shared" si="10"/>
        <v>0</v>
      </c>
      <c r="Z60" s="401">
        <f t="shared" si="10"/>
        <v>0</v>
      </c>
      <c r="AA60" s="401">
        <f t="shared" si="10"/>
        <v>0</v>
      </c>
      <c r="AB60" s="401">
        <f t="shared" si="10"/>
        <v>0</v>
      </c>
      <c r="AC60" s="401">
        <f t="shared" si="10"/>
        <v>0</v>
      </c>
      <c r="AD60" s="401">
        <f t="shared" si="10"/>
        <v>0</v>
      </c>
      <c r="AE60" s="401">
        <f t="shared" si="10"/>
        <v>0</v>
      </c>
      <c r="AF60" s="542">
        <f t="shared" si="10"/>
        <v>0</v>
      </c>
      <c r="AG60" s="411"/>
      <c r="AH60" s="411"/>
      <c r="AI60" s="411"/>
      <c r="AJ60" s="411"/>
      <c r="AK60" s="411"/>
      <c r="AL60" s="411"/>
      <c r="AM60" s="411"/>
      <c r="AN60" s="411"/>
      <c r="AO60" s="411"/>
      <c r="AP60" s="411"/>
      <c r="AQ60" s="411"/>
      <c r="AR60" s="411"/>
      <c r="AS60" s="411"/>
      <c r="AT60" s="411"/>
      <c r="AU60" s="411"/>
      <c r="AV60" s="411"/>
      <c r="AW60" s="411"/>
      <c r="AX60" s="411"/>
      <c r="AY60" s="411"/>
      <c r="AZ60" s="411"/>
      <c r="BA60" s="411"/>
      <c r="BB60" s="411"/>
      <c r="BC60" s="411"/>
      <c r="BD60" s="411"/>
      <c r="BE60" s="411"/>
      <c r="BF60" s="411"/>
      <c r="BG60" s="411"/>
      <c r="BH60" s="411"/>
      <c r="BI60" s="411"/>
      <c r="BJ60" s="411"/>
      <c r="BK60" s="411"/>
      <c r="BL60" s="411"/>
      <c r="BM60" s="411"/>
      <c r="BN60" s="411"/>
      <c r="BO60" s="411"/>
      <c r="BP60" s="411"/>
      <c r="BQ60" s="411"/>
      <c r="BR60" s="411"/>
      <c r="BS60" s="411"/>
    </row>
    <row r="61" spans="1:71" s="198" customFormat="1">
      <c r="A61" s="416" t="str">
        <f>languages!A405</f>
        <v>Costo Anual Medidas Agua</v>
      </c>
      <c r="B61" s="267" t="s">
        <v>209</v>
      </c>
      <c r="C61" s="516">
        <v>0</v>
      </c>
      <c r="D61" s="401">
        <f>C61*(1+$B46)</f>
        <v>0</v>
      </c>
      <c r="E61" s="401">
        <f t="shared" ref="E61:AF61" si="11">D61*(1+$B46)</f>
        <v>0</v>
      </c>
      <c r="F61" s="401">
        <f t="shared" si="11"/>
        <v>0</v>
      </c>
      <c r="G61" s="401">
        <f t="shared" si="11"/>
        <v>0</v>
      </c>
      <c r="H61" s="401">
        <f t="shared" si="11"/>
        <v>0</v>
      </c>
      <c r="I61" s="401">
        <f t="shared" si="11"/>
        <v>0</v>
      </c>
      <c r="J61" s="401">
        <f t="shared" si="11"/>
        <v>0</v>
      </c>
      <c r="K61" s="401">
        <f t="shared" si="11"/>
        <v>0</v>
      </c>
      <c r="L61" s="401">
        <f t="shared" si="11"/>
        <v>0</v>
      </c>
      <c r="M61" s="401">
        <f t="shared" si="11"/>
        <v>0</v>
      </c>
      <c r="N61" s="401">
        <f t="shared" si="11"/>
        <v>0</v>
      </c>
      <c r="O61" s="401">
        <f t="shared" si="11"/>
        <v>0</v>
      </c>
      <c r="P61" s="401">
        <f t="shared" si="11"/>
        <v>0</v>
      </c>
      <c r="Q61" s="401">
        <f t="shared" si="11"/>
        <v>0</v>
      </c>
      <c r="R61" s="401">
        <f t="shared" si="11"/>
        <v>0</v>
      </c>
      <c r="S61" s="401">
        <f t="shared" si="11"/>
        <v>0</v>
      </c>
      <c r="T61" s="401">
        <f t="shared" si="11"/>
        <v>0</v>
      </c>
      <c r="U61" s="401">
        <f t="shared" si="11"/>
        <v>0</v>
      </c>
      <c r="V61" s="401">
        <f t="shared" si="11"/>
        <v>0</v>
      </c>
      <c r="W61" s="401">
        <f t="shared" si="11"/>
        <v>0</v>
      </c>
      <c r="X61" s="401">
        <f t="shared" si="11"/>
        <v>0</v>
      </c>
      <c r="Y61" s="401">
        <f t="shared" si="11"/>
        <v>0</v>
      </c>
      <c r="Z61" s="401">
        <f t="shared" si="11"/>
        <v>0</v>
      </c>
      <c r="AA61" s="401">
        <f t="shared" si="11"/>
        <v>0</v>
      </c>
      <c r="AB61" s="401">
        <f t="shared" si="11"/>
        <v>0</v>
      </c>
      <c r="AC61" s="401">
        <f t="shared" si="11"/>
        <v>0</v>
      </c>
      <c r="AD61" s="401">
        <f t="shared" si="11"/>
        <v>0</v>
      </c>
      <c r="AE61" s="401">
        <f t="shared" si="11"/>
        <v>0</v>
      </c>
      <c r="AF61" s="542">
        <f t="shared" si="11"/>
        <v>0</v>
      </c>
      <c r="AG61" s="411"/>
      <c r="AH61" s="411"/>
      <c r="AI61" s="411"/>
      <c r="AJ61" s="411"/>
      <c r="AK61" s="411"/>
      <c r="AL61" s="411"/>
      <c r="AM61" s="411"/>
      <c r="AN61" s="411"/>
      <c r="AO61" s="411"/>
      <c r="AP61" s="411"/>
      <c r="AQ61" s="411"/>
      <c r="AR61" s="411"/>
      <c r="AS61" s="411"/>
      <c r="AT61" s="411"/>
      <c r="AU61" s="411"/>
      <c r="AV61" s="411"/>
      <c r="AW61" s="411"/>
      <c r="AX61" s="411"/>
      <c r="AY61" s="411"/>
      <c r="AZ61" s="411"/>
      <c r="BA61" s="411"/>
      <c r="BB61" s="411"/>
      <c r="BC61" s="411"/>
      <c r="BD61" s="411"/>
      <c r="BE61" s="411"/>
      <c r="BF61" s="411"/>
      <c r="BG61" s="411"/>
      <c r="BH61" s="411"/>
      <c r="BI61" s="411"/>
      <c r="BJ61" s="411"/>
      <c r="BK61" s="411"/>
      <c r="BL61" s="411"/>
      <c r="BM61" s="411"/>
      <c r="BN61" s="411"/>
      <c r="BO61" s="411"/>
      <c r="BP61" s="411"/>
      <c r="BQ61" s="411"/>
      <c r="BR61" s="411"/>
      <c r="BS61" s="411"/>
    </row>
    <row r="62" spans="1:71" s="198" customFormat="1">
      <c r="A62" s="417" t="str">
        <f>languages!A328</f>
        <v>Suma Costos Mantención</v>
      </c>
      <c r="B62" s="196" t="s">
        <v>209</v>
      </c>
      <c r="C62" s="418">
        <f>SUM(C59:C61)</f>
        <v>0</v>
      </c>
      <c r="D62" s="418">
        <f t="shared" ref="D62:AF62" si="12">SUM(D59:D61)</f>
        <v>0</v>
      </c>
      <c r="E62" s="418">
        <f t="shared" si="12"/>
        <v>0</v>
      </c>
      <c r="F62" s="418">
        <f t="shared" si="12"/>
        <v>0</v>
      </c>
      <c r="G62" s="418">
        <f t="shared" si="12"/>
        <v>0</v>
      </c>
      <c r="H62" s="418">
        <f t="shared" si="12"/>
        <v>0</v>
      </c>
      <c r="I62" s="418">
        <f t="shared" si="12"/>
        <v>0</v>
      </c>
      <c r="J62" s="418">
        <f t="shared" si="12"/>
        <v>0</v>
      </c>
      <c r="K62" s="418">
        <f t="shared" si="12"/>
        <v>0</v>
      </c>
      <c r="L62" s="418">
        <f t="shared" si="12"/>
        <v>0</v>
      </c>
      <c r="M62" s="418">
        <f t="shared" si="12"/>
        <v>0</v>
      </c>
      <c r="N62" s="418">
        <f t="shared" si="12"/>
        <v>0</v>
      </c>
      <c r="O62" s="418">
        <f t="shared" si="12"/>
        <v>0</v>
      </c>
      <c r="P62" s="418">
        <f t="shared" si="12"/>
        <v>0</v>
      </c>
      <c r="Q62" s="418">
        <f t="shared" si="12"/>
        <v>0</v>
      </c>
      <c r="R62" s="418">
        <f t="shared" si="12"/>
        <v>0</v>
      </c>
      <c r="S62" s="418">
        <f t="shared" si="12"/>
        <v>0</v>
      </c>
      <c r="T62" s="418">
        <f t="shared" si="12"/>
        <v>0</v>
      </c>
      <c r="U62" s="418">
        <f t="shared" si="12"/>
        <v>0</v>
      </c>
      <c r="V62" s="418">
        <f t="shared" si="12"/>
        <v>0</v>
      </c>
      <c r="W62" s="418">
        <f t="shared" si="12"/>
        <v>0</v>
      </c>
      <c r="X62" s="418">
        <f t="shared" si="12"/>
        <v>0</v>
      </c>
      <c r="Y62" s="418">
        <f t="shared" si="12"/>
        <v>0</v>
      </c>
      <c r="Z62" s="418">
        <f t="shared" si="12"/>
        <v>0</v>
      </c>
      <c r="AA62" s="418">
        <f t="shared" si="12"/>
        <v>0</v>
      </c>
      <c r="AB62" s="418">
        <f t="shared" si="12"/>
        <v>0</v>
      </c>
      <c r="AC62" s="418">
        <f t="shared" si="12"/>
        <v>0</v>
      </c>
      <c r="AD62" s="418">
        <f t="shared" si="12"/>
        <v>0</v>
      </c>
      <c r="AE62" s="418">
        <f t="shared" si="12"/>
        <v>0</v>
      </c>
      <c r="AF62" s="419">
        <f t="shared" si="12"/>
        <v>0</v>
      </c>
      <c r="AG62" s="411"/>
      <c r="AH62" s="411"/>
      <c r="AI62" s="411"/>
      <c r="AJ62" s="411"/>
      <c r="AK62" s="411"/>
      <c r="AL62" s="411"/>
      <c r="AM62" s="411"/>
      <c r="AN62" s="411"/>
      <c r="AO62" s="411"/>
      <c r="AP62" s="411"/>
      <c r="AQ62" s="411"/>
      <c r="AR62" s="411"/>
      <c r="AS62" s="411"/>
      <c r="AT62" s="411"/>
      <c r="AU62" s="411"/>
      <c r="AV62" s="411"/>
      <c r="AW62" s="411"/>
      <c r="AX62" s="411"/>
      <c r="AY62" s="411"/>
      <c r="AZ62" s="411"/>
      <c r="BA62" s="411"/>
      <c r="BB62" s="411"/>
      <c r="BC62" s="411"/>
      <c r="BD62" s="411"/>
      <c r="BE62" s="411"/>
      <c r="BF62" s="411"/>
      <c r="BG62" s="411"/>
      <c r="BH62" s="411"/>
      <c r="BI62" s="411"/>
      <c r="BJ62" s="411"/>
      <c r="BK62" s="411"/>
      <c r="BL62" s="411"/>
      <c r="BM62" s="411"/>
      <c r="BN62" s="411"/>
      <c r="BO62" s="411"/>
      <c r="BP62" s="411"/>
      <c r="BQ62" s="411"/>
      <c r="BR62" s="411"/>
      <c r="BS62" s="411"/>
    </row>
    <row r="63" spans="1:71" s="198" customFormat="1">
      <c r="A63" s="417" t="str">
        <f>languages!A329</f>
        <v>Costos Esporádicos (ej. Recambio piezas)</v>
      </c>
      <c r="B63" s="267" t="s">
        <v>209</v>
      </c>
      <c r="C63" s="516">
        <v>0</v>
      </c>
      <c r="D63" s="516">
        <v>0</v>
      </c>
      <c r="E63" s="516">
        <v>0</v>
      </c>
      <c r="F63" s="516">
        <v>0</v>
      </c>
      <c r="G63" s="516">
        <v>0</v>
      </c>
      <c r="H63" s="516">
        <v>0</v>
      </c>
      <c r="I63" s="516">
        <v>0</v>
      </c>
      <c r="J63" s="516">
        <v>0</v>
      </c>
      <c r="K63" s="516">
        <v>0</v>
      </c>
      <c r="L63" s="516">
        <v>0</v>
      </c>
      <c r="M63" s="516">
        <v>0</v>
      </c>
      <c r="N63" s="516">
        <v>0</v>
      </c>
      <c r="O63" s="516">
        <v>0</v>
      </c>
      <c r="P63" s="516">
        <v>0</v>
      </c>
      <c r="Q63" s="516">
        <v>0</v>
      </c>
      <c r="R63" s="516">
        <v>0</v>
      </c>
      <c r="S63" s="516">
        <v>0</v>
      </c>
      <c r="T63" s="516">
        <v>0</v>
      </c>
      <c r="U63" s="516">
        <v>0</v>
      </c>
      <c r="V63" s="516">
        <v>0</v>
      </c>
      <c r="W63" s="516">
        <v>0</v>
      </c>
      <c r="X63" s="516">
        <v>0</v>
      </c>
      <c r="Y63" s="516">
        <v>0</v>
      </c>
      <c r="Z63" s="516">
        <v>0</v>
      </c>
      <c r="AA63" s="516">
        <v>0</v>
      </c>
      <c r="AB63" s="516">
        <v>0</v>
      </c>
      <c r="AC63" s="516">
        <v>0</v>
      </c>
      <c r="AD63" s="516">
        <v>0</v>
      </c>
      <c r="AE63" s="516">
        <v>0</v>
      </c>
      <c r="AF63" s="543">
        <v>0</v>
      </c>
      <c r="AG63" s="411"/>
      <c r="AH63" s="411"/>
      <c r="AI63" s="411"/>
      <c r="AJ63" s="411"/>
      <c r="AK63" s="411"/>
      <c r="AL63" s="411"/>
      <c r="AM63" s="411"/>
      <c r="AN63" s="411"/>
      <c r="AO63" s="411"/>
      <c r="AP63" s="411"/>
      <c r="AQ63" s="411"/>
      <c r="AR63" s="411"/>
      <c r="AS63" s="411"/>
      <c r="AT63" s="411"/>
      <c r="AU63" s="411"/>
      <c r="AV63" s="411"/>
      <c r="AW63" s="411"/>
      <c r="AX63" s="411"/>
      <c r="AY63" s="411"/>
      <c r="AZ63" s="411"/>
      <c r="BA63" s="411"/>
      <c r="BB63" s="411"/>
      <c r="BC63" s="411"/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1"/>
      <c r="BS63" s="411"/>
    </row>
    <row r="64" spans="1:71"/>
  </sheetData>
  <mergeCells count="31">
    <mergeCell ref="A2:K3"/>
    <mergeCell ref="I33:K33"/>
    <mergeCell ref="G15:G16"/>
    <mergeCell ref="H15:H16"/>
    <mergeCell ref="A24:K24"/>
    <mergeCell ref="A32:K32"/>
    <mergeCell ref="A26:A27"/>
    <mergeCell ref="C5:C6"/>
    <mergeCell ref="E5:E6"/>
    <mergeCell ref="F5:F6"/>
    <mergeCell ref="I4:K4"/>
    <mergeCell ref="I14:K14"/>
    <mergeCell ref="G5:G6"/>
    <mergeCell ref="H5:H6"/>
    <mergeCell ref="A13:K13"/>
    <mergeCell ref="M5:P5"/>
    <mergeCell ref="A15:A16"/>
    <mergeCell ref="B15:B16"/>
    <mergeCell ref="C15:C16"/>
    <mergeCell ref="E15:E16"/>
    <mergeCell ref="A5:A6"/>
    <mergeCell ref="B5:B6"/>
    <mergeCell ref="D15:D23"/>
    <mergeCell ref="F15:F23"/>
    <mergeCell ref="D5:D6"/>
    <mergeCell ref="B26:B27"/>
    <mergeCell ref="C26:C27"/>
    <mergeCell ref="G26:G27"/>
    <mergeCell ref="I25:K25"/>
    <mergeCell ref="H26:H27"/>
    <mergeCell ref="D26:F31"/>
  </mergeCells>
  <pageMargins left="0.78740157480314965" right="0.78740157480314965" top="0.98425196850393704" bottom="0.98425196850393704" header="0.51181102362204722" footer="0.51181102362204722"/>
  <pageSetup paperSize="9" scale="28" orientation="landscape" horizontalDpi="300" verticalDpi="300" r:id="rId1"/>
  <headerFooter alignWithMargins="0">
    <oddHeader>&amp;L&amp;"Geneva,Fett"100.000 Watt Solarinitiative
für Schulen in NRW
EnergieSchule 2000+&amp;C&amp;"Geneva,Fett"Excel-Programm zur
Wirtschaftlichkeitsberechnung&amp;"Geneva,Standard"
&amp;R&amp;"Geneva,Fett"Blatt: &amp;A</oddHeader>
  </headerFooter>
  <ignoredErrors>
    <ignoredError sqref="B4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DC121"/>
  <sheetViews>
    <sheetView showGridLines="0" view="pageBreakPreview" topLeftCell="A79" zoomScaleNormal="100" zoomScaleSheetLayoutView="100" workbookViewId="0">
      <pane xSplit="1" topLeftCell="B1" activePane="topRight" state="frozen"/>
      <selection activeCell="C49" sqref="C49"/>
      <selection pane="topRight" activeCell="A68" sqref="A68"/>
    </sheetView>
  </sheetViews>
  <sheetFormatPr baseColWidth="10" defaultColWidth="0" defaultRowHeight="12.75"/>
  <cols>
    <col min="1" max="1" width="54.375" style="131" bestFit="1" customWidth="1"/>
    <col min="2" max="2" width="20.25" style="131" customWidth="1"/>
    <col min="3" max="32" width="15.625" style="131" customWidth="1"/>
    <col min="33" max="33" width="13.375" style="131" customWidth="1"/>
    <col min="34" max="34" width="11.375" style="131" customWidth="1"/>
    <col min="35" max="93" width="11.375" style="131" hidden="1" customWidth="1"/>
    <col min="94" max="107" width="11.375" style="130" hidden="1" customWidth="1"/>
    <col min="108" max="16384" width="11" style="130" hidden="1"/>
  </cols>
  <sheetData>
    <row r="1" spans="1:44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</row>
    <row r="2" spans="1:44" s="56" customFormat="1" ht="18">
      <c r="A2" s="132" t="str">
        <f>languages!A133</f>
        <v>Nombre del Proyecto</v>
      </c>
      <c r="B2" s="504">
        <f>Results!B1</f>
        <v>0</v>
      </c>
      <c r="C2" s="130"/>
      <c r="D2" s="130"/>
      <c r="E2" s="130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</row>
    <row r="3" spans="1:44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</row>
    <row r="4" spans="1:44" s="135" customFormat="1">
      <c r="A4" s="133" t="str">
        <f>languages!A134</f>
        <v>Supuestos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</row>
    <row r="5" spans="1:44">
      <c r="A5" s="353" t="str">
        <f>languages!A135</f>
        <v>Año Inicio Proyecto</v>
      </c>
      <c r="B5" s="354">
        <f>'Main Input-Output'!B48</f>
        <v>2015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</row>
    <row r="6" spans="1:44">
      <c r="A6" s="353" t="str">
        <f>languages!A136</f>
        <v>Tasa de Descuento (%)</v>
      </c>
      <c r="B6" s="355">
        <f>'Main Input-Output'!B39</f>
        <v>0.1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</row>
    <row r="7" spans="1:44">
      <c r="A7" s="353" t="str">
        <f>languages!A137</f>
        <v>Tasa de Inflación (%)</v>
      </c>
      <c r="B7" s="355">
        <f>'Main Input-Output'!B40</f>
        <v>0.03</v>
      </c>
      <c r="C7" s="130"/>
      <c r="D7" s="136"/>
      <c r="E7" s="137"/>
      <c r="F7" s="137"/>
      <c r="G7" s="137"/>
      <c r="H7" s="137"/>
      <c r="I7" s="137"/>
      <c r="J7" s="137"/>
      <c r="K7" s="137"/>
      <c r="L7" s="137"/>
      <c r="M7" s="137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</row>
    <row r="8" spans="1:44">
      <c r="A8" s="356" t="str">
        <f>languages!A138</f>
        <v>Incremento Precio Energía (%)</v>
      </c>
      <c r="B8" s="357">
        <f>'Main Input-Output'!B41</f>
        <v>0.03</v>
      </c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</row>
    <row r="9" spans="1:44">
      <c r="A9" s="353" t="str">
        <f>languages!A139</f>
        <v>Vida Útil Equipos/Planta (en años)</v>
      </c>
      <c r="B9" s="358">
        <f>ROUNDUP('Main Input-Output'!B42,0)</f>
        <v>25</v>
      </c>
      <c r="C9" s="138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</row>
    <row r="10" spans="1:44">
      <c r="A10" s="359" t="str">
        <f>languages!A140</f>
        <v>Tasa de Impuesto (%)</v>
      </c>
      <c r="B10" s="360">
        <f>'Main Input-Output'!B45</f>
        <v>0.21</v>
      </c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</row>
    <row r="11" spans="1:44">
      <c r="A11" s="359" t="str">
        <f>languages!A141</f>
        <v>Utilidad Libre de Impuestos</v>
      </c>
      <c r="B11" s="361">
        <f>'Main Input-Output'!B46</f>
        <v>0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</row>
    <row r="12" spans="1:44">
      <c r="A12" s="362" t="str">
        <f>languages!A142</f>
        <v>Provisiones para Desmantelamiento (% de la Inversion)</v>
      </c>
      <c r="B12" s="360">
        <f>'Main Input-Output'!B22</f>
        <v>0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</row>
    <row r="13" spans="1:44" ht="25.5">
      <c r="A13" s="362" t="str">
        <f>languages!A143</f>
        <v>Provisiones para Desmantelamiento (Costo por Años de Vida Util -1 Año)</v>
      </c>
      <c r="B13" s="361">
        <f>B12*B17/(B9-1)</f>
        <v>0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</row>
    <row r="14" spans="1:44">
      <c r="A14" s="363" t="str">
        <f>languages!A144</f>
        <v>Indice de Corbertura Servicio de Deuda</v>
      </c>
      <c r="B14" s="354">
        <f>'Main Input-Output'!B36</f>
        <v>1.4</v>
      </c>
      <c r="C14" s="141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</row>
    <row r="15" spans="1:44">
      <c r="A15" s="142"/>
      <c r="B15" s="143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</row>
    <row r="16" spans="1:44" s="135" customFormat="1">
      <c r="A16" s="133" t="str">
        <f>languages!A146</f>
        <v>Costos Inversión Inicial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</row>
    <row r="17" spans="1:36">
      <c r="A17" s="221" t="str">
        <f>languages!A146</f>
        <v>Costos Inversión Inicial</v>
      </c>
      <c r="B17" s="252">
        <f>'Main Input-Output'!B5</f>
        <v>-61000</v>
      </c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</row>
    <row r="18" spans="1:36">
      <c r="A18" s="221" t="str">
        <f>languages!A147</f>
        <v>Costos Desarrollo Proyecto</v>
      </c>
      <c r="B18" s="252">
        <f>'Main Input-Output'!B6</f>
        <v>0</v>
      </c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</row>
    <row r="19" spans="1:36">
      <c r="A19" s="221" t="str">
        <f>languages!A184</f>
        <v>Necesidad Liquidez al Inicio del Proyecto</v>
      </c>
      <c r="B19" s="252">
        <f>'Main Input-Output'!B8</f>
        <v>0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</row>
    <row r="20" spans="1:36">
      <c r="A20" s="221" t="str">
        <f>languages!A148</f>
        <v>Subsidios al Inicio del Proyecto</v>
      </c>
      <c r="B20" s="252">
        <f>'Main Input-Output'!B7</f>
        <v>0</v>
      </c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1:36">
      <c r="A21" s="221" t="str">
        <f>languages!A149</f>
        <v>Costos Totales</v>
      </c>
      <c r="B21" s="221">
        <f>SUM(B17:B20)</f>
        <v>-61000</v>
      </c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</row>
    <row r="22" spans="1:36">
      <c r="A22" s="222" t="str">
        <f>languages!A150</f>
        <v>Valor Residual (después de vida útil)</v>
      </c>
      <c r="B22" s="252">
        <f>'Main Input-Output'!B10</f>
        <v>0</v>
      </c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</row>
    <row r="23" spans="1:36">
      <c r="A23" s="142"/>
      <c r="B23" s="143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</row>
    <row r="24" spans="1:36" s="135" customFormat="1">
      <c r="A24" s="133" t="str">
        <f>languages!A151</f>
        <v>Ingresos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</row>
    <row r="25" spans="1:36">
      <c r="A25" s="226" t="str">
        <f>languages!A152</f>
        <v>Ingresos por Venta/Ahorro Electricidad</v>
      </c>
      <c r="B25" s="232">
        <f>'Main Input-Output'!B13</f>
        <v>4905.6000000000004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</row>
    <row r="26" spans="1:36">
      <c r="A26" s="142"/>
      <c r="B26" s="143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</row>
    <row r="27" spans="1:36" s="135" customFormat="1">
      <c r="A27" s="133" t="str">
        <f>languages!A153</f>
        <v>Financiamiento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</row>
    <row r="28" spans="1:36">
      <c r="A28" s="223" t="str">
        <f>languages!A154</f>
        <v>Tasa Endeudamiento</v>
      </c>
      <c r="B28" s="376">
        <f>'Main Input-Output'!B25</f>
        <v>0.8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</row>
    <row r="29" spans="1:36">
      <c r="A29" s="224" t="str">
        <f>languages!A155</f>
        <v>Capital Externo</v>
      </c>
      <c r="B29" s="505">
        <f>B21*B28</f>
        <v>-48800</v>
      </c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</row>
    <row r="30" spans="1:36">
      <c r="A30" s="224" t="str">
        <f>languages!A156</f>
        <v xml:space="preserve">Capital Propio </v>
      </c>
      <c r="B30" s="505">
        <f>B21-B29</f>
        <v>-12200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</row>
    <row r="31" spans="1:36">
      <c r="A31" s="224" t="str">
        <f>languages!A157</f>
        <v>Plazo Crédito (en Años)</v>
      </c>
      <c r="B31" s="377">
        <f>IF(B28=0,1,'Main Input-Output'!B28)</f>
        <v>20</v>
      </c>
      <c r="C31" s="138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</row>
    <row r="32" spans="1:36">
      <c r="A32" s="224" t="str">
        <f>languages!A158</f>
        <v>Numero de Años con Tasa Fija de Interés</v>
      </c>
      <c r="B32" s="377">
        <f>'Main Input-Output'!B29</f>
        <v>19</v>
      </c>
      <c r="C32" s="138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</row>
    <row r="33" spans="1:93">
      <c r="A33" s="224" t="str">
        <f>languages!A159</f>
        <v>Periodo de Gracia</v>
      </c>
      <c r="B33" s="377">
        <f>'Main Input-Output'!B30</f>
        <v>3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</row>
    <row r="34" spans="1:93" ht="38.25">
      <c r="A34" s="770" t="str">
        <f>languages!A160</f>
        <v>Tipo Préstamo</v>
      </c>
      <c r="B34" s="378" t="str">
        <f>'Main Input-Output'!B31</f>
        <v>Annuitätendarlehen - Quotas anuales constantes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</row>
    <row r="35" spans="1:93">
      <c r="A35" s="223" t="str">
        <f>languages!A161</f>
        <v>Tasa Interés Crédito (%)</v>
      </c>
      <c r="B35" s="379">
        <f>'Main Input-Output'!B32</f>
        <v>0.06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</row>
    <row r="36" spans="1:93">
      <c r="A36" s="223" t="str">
        <f>languages!A162</f>
        <v>Tasa Interés después de Periodo Tasa Fija</v>
      </c>
      <c r="B36" s="380">
        <f>'Main Input-Output'!B33</f>
        <v>0.06</v>
      </c>
      <c r="C36" s="141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</row>
    <row r="37" spans="1:93">
      <c r="A37" s="225" t="str">
        <f>languages!A163</f>
        <v>Mes Inicio Crédito</v>
      </c>
      <c r="B37" s="379">
        <f>'Main Input-Output'!B34</f>
        <v>1</v>
      </c>
      <c r="C37" s="141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</row>
    <row r="38" spans="1:93">
      <c r="A38" s="225" t="str">
        <f>languages!A164</f>
        <v xml:space="preserve">Pago  </v>
      </c>
      <c r="B38" s="380">
        <f>'Main Input-Output'!B35</f>
        <v>0.92</v>
      </c>
      <c r="C38" s="141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</row>
    <row r="39" spans="1:93">
      <c r="A39" s="225" t="str">
        <f>languages!A165</f>
        <v>Cobro por Gestión/Tramitación</v>
      </c>
      <c r="B39" s="381">
        <f>B29*(1-B38)</f>
        <v>-3903.9999999999982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</row>
    <row r="40" spans="1:93" s="135" customFormat="1">
      <c r="A40" s="133" t="str">
        <f>languages!A166</f>
        <v>Costos Operativos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</row>
    <row r="41" spans="1:93" s="148" customFormat="1">
      <c r="A41" s="145" t="str">
        <f>languages!A167</f>
        <v>Periodo</v>
      </c>
      <c r="B41" s="146">
        <v>0</v>
      </c>
      <c r="C41" s="57">
        <v>1</v>
      </c>
      <c r="D41" s="57">
        <v>2</v>
      </c>
      <c r="E41" s="57">
        <v>3</v>
      </c>
      <c r="F41" s="57">
        <v>4</v>
      </c>
      <c r="G41" s="57">
        <v>5</v>
      </c>
      <c r="H41" s="57">
        <v>6</v>
      </c>
      <c r="I41" s="57">
        <v>7</v>
      </c>
      <c r="J41" s="57">
        <v>8</v>
      </c>
      <c r="K41" s="57">
        <v>9</v>
      </c>
      <c r="L41" s="57">
        <v>10</v>
      </c>
      <c r="M41" s="57">
        <v>11</v>
      </c>
      <c r="N41" s="57">
        <v>12</v>
      </c>
      <c r="O41" s="57">
        <v>13</v>
      </c>
      <c r="P41" s="57">
        <v>14</v>
      </c>
      <c r="Q41" s="57">
        <v>15</v>
      </c>
      <c r="R41" s="57">
        <v>16</v>
      </c>
      <c r="S41" s="57">
        <v>17</v>
      </c>
      <c r="T41" s="57">
        <v>18</v>
      </c>
      <c r="U41" s="57">
        <v>19</v>
      </c>
      <c r="V41" s="57">
        <v>20</v>
      </c>
      <c r="W41" s="57">
        <v>21</v>
      </c>
      <c r="X41" s="57">
        <v>22</v>
      </c>
      <c r="Y41" s="57">
        <v>23</v>
      </c>
      <c r="Z41" s="57">
        <v>24</v>
      </c>
      <c r="AA41" s="57">
        <v>25</v>
      </c>
      <c r="AB41" s="57">
        <v>26</v>
      </c>
      <c r="AC41" s="57">
        <v>27</v>
      </c>
      <c r="AD41" s="57">
        <v>28</v>
      </c>
      <c r="AE41" s="57">
        <v>29</v>
      </c>
      <c r="AF41" s="57">
        <v>30</v>
      </c>
      <c r="AG41" s="147"/>
    </row>
    <row r="42" spans="1:93" s="148" customFormat="1">
      <c r="A42" s="145" t="str">
        <f>languages!A168</f>
        <v>Año</v>
      </c>
      <c r="B42" s="146"/>
      <c r="C42" s="57">
        <f>B5</f>
        <v>2015</v>
      </c>
      <c r="D42" s="57">
        <f>C42+1</f>
        <v>2016</v>
      </c>
      <c r="E42" s="57">
        <f t="shared" ref="E42:V42" si="0">D42+1</f>
        <v>2017</v>
      </c>
      <c r="F42" s="57">
        <f t="shared" si="0"/>
        <v>2018</v>
      </c>
      <c r="G42" s="57">
        <f t="shared" si="0"/>
        <v>2019</v>
      </c>
      <c r="H42" s="57">
        <f t="shared" si="0"/>
        <v>2020</v>
      </c>
      <c r="I42" s="57">
        <f t="shared" si="0"/>
        <v>2021</v>
      </c>
      <c r="J42" s="57">
        <f t="shared" si="0"/>
        <v>2022</v>
      </c>
      <c r="K42" s="57">
        <f t="shared" si="0"/>
        <v>2023</v>
      </c>
      <c r="L42" s="57">
        <f t="shared" si="0"/>
        <v>2024</v>
      </c>
      <c r="M42" s="57">
        <f t="shared" si="0"/>
        <v>2025</v>
      </c>
      <c r="N42" s="57">
        <f t="shared" si="0"/>
        <v>2026</v>
      </c>
      <c r="O42" s="57">
        <f t="shared" si="0"/>
        <v>2027</v>
      </c>
      <c r="P42" s="57">
        <f t="shared" si="0"/>
        <v>2028</v>
      </c>
      <c r="Q42" s="57">
        <f t="shared" si="0"/>
        <v>2029</v>
      </c>
      <c r="R42" s="57">
        <f t="shared" si="0"/>
        <v>2030</v>
      </c>
      <c r="S42" s="57">
        <f t="shared" si="0"/>
        <v>2031</v>
      </c>
      <c r="T42" s="57">
        <f t="shared" si="0"/>
        <v>2032</v>
      </c>
      <c r="U42" s="57">
        <f t="shared" si="0"/>
        <v>2033</v>
      </c>
      <c r="V42" s="57">
        <f t="shared" si="0"/>
        <v>2034</v>
      </c>
      <c r="W42" s="57">
        <f t="shared" ref="W42:AF42" si="1">V42+1</f>
        <v>2035</v>
      </c>
      <c r="X42" s="57">
        <f t="shared" si="1"/>
        <v>2036</v>
      </c>
      <c r="Y42" s="57">
        <f t="shared" si="1"/>
        <v>2037</v>
      </c>
      <c r="Z42" s="57">
        <f t="shared" si="1"/>
        <v>2038</v>
      </c>
      <c r="AA42" s="57">
        <f t="shared" si="1"/>
        <v>2039</v>
      </c>
      <c r="AB42" s="57">
        <f t="shared" si="1"/>
        <v>2040</v>
      </c>
      <c r="AC42" s="57">
        <f t="shared" si="1"/>
        <v>2041</v>
      </c>
      <c r="AD42" s="57">
        <f t="shared" si="1"/>
        <v>2042</v>
      </c>
      <c r="AE42" s="57">
        <f t="shared" si="1"/>
        <v>2043</v>
      </c>
      <c r="AF42" s="57">
        <f t="shared" si="1"/>
        <v>2044</v>
      </c>
      <c r="AG42" s="147"/>
    </row>
    <row r="43" spans="1:93">
      <c r="A43" s="229" t="str">
        <f>languages!A172</f>
        <v xml:space="preserve">Costos RRHH </v>
      </c>
      <c r="B43" s="230">
        <f>'Main Input-Output'!B17</f>
        <v>0</v>
      </c>
      <c r="C43" s="230">
        <f>IF($B$9&lt;C$41,0,IF('Main Input-Output'!$B$12="PV",-PV!C33,IF('Main Input-Output'!$B$12="Wind",Wind!C36,IF('Main Input-Output'!$B$12="Cogeneration",-Cogen!C48,-Efficiency!C57))))</f>
        <v>0</v>
      </c>
      <c r="D43" s="230">
        <f>IF($B$9&lt;D$41,0,IF('Main Input-Output'!$B$12="PV",-PV!D33,IF('Main Input-Output'!$B$12="Wind",Wind!D36,IF('Main Input-Output'!$B$12="Cogeneration",-Cogen!D48,-Efficiency!D57))))</f>
        <v>0</v>
      </c>
      <c r="E43" s="230">
        <f>IF($B$9&lt;E$41,0,IF('Main Input-Output'!$B$12="PV",-PV!E33,IF('Main Input-Output'!$B$12="Wind",Wind!E36,IF('Main Input-Output'!$B$12="Cogeneration",-Cogen!E48,-Efficiency!E57))))</f>
        <v>0</v>
      </c>
      <c r="F43" s="230">
        <f>IF($B$9&lt;F$41,0,IF('Main Input-Output'!$B$12="PV",-PV!F33,IF('Main Input-Output'!$B$12="Wind",Wind!F36,IF('Main Input-Output'!$B$12="Cogeneration",-Cogen!F48,-Efficiency!F57))))</f>
        <v>0</v>
      </c>
      <c r="G43" s="230">
        <f>IF($B$9&lt;G$41,0,IF('Main Input-Output'!$B$12="PV",-PV!G33,IF('Main Input-Output'!$B$12="Wind",Wind!G36,IF('Main Input-Output'!$B$12="Cogeneration",-Cogen!G48,-Efficiency!G57))))</f>
        <v>0</v>
      </c>
      <c r="H43" s="230">
        <f>IF($B$9&lt;H$41,0,IF('Main Input-Output'!$B$12="PV",-PV!H33,IF('Main Input-Output'!$B$12="Wind",Wind!H36,IF('Main Input-Output'!$B$12="Cogeneration",-Cogen!H48,-Efficiency!H57))))</f>
        <v>0</v>
      </c>
      <c r="I43" s="230">
        <f>IF($B$9&lt;I$41,0,IF('Main Input-Output'!$B$12="PV",-PV!I33,IF('Main Input-Output'!$B$12="Wind",Wind!I36,IF('Main Input-Output'!$B$12="Cogeneration",-Cogen!I48,-Efficiency!I57))))</f>
        <v>0</v>
      </c>
      <c r="J43" s="230">
        <f>IF($B$9&lt;J$41,0,IF('Main Input-Output'!$B$12="PV",-PV!J33,IF('Main Input-Output'!$B$12="Wind",Wind!J36,IF('Main Input-Output'!$B$12="Cogeneration",-Cogen!J48,-Efficiency!J57))))</f>
        <v>0</v>
      </c>
      <c r="K43" s="230">
        <f>IF($B$9&lt;K$41,0,IF('Main Input-Output'!$B$12="PV",-PV!K33,IF('Main Input-Output'!$B$12="Wind",Wind!K36,IF('Main Input-Output'!$B$12="Cogeneration",-Cogen!K48,-Efficiency!K57))))</f>
        <v>0</v>
      </c>
      <c r="L43" s="230">
        <f>IF($B$9&lt;L$41,0,IF('Main Input-Output'!$B$12="PV",-PV!L33,IF('Main Input-Output'!$B$12="Wind",Wind!L36,IF('Main Input-Output'!$B$12="Cogeneration",-Cogen!L48,-Efficiency!L57))))</f>
        <v>0</v>
      </c>
      <c r="M43" s="230">
        <f>IF($B$9&lt;M$41,0,IF('Main Input-Output'!$B$12="PV",-PV!M33,IF('Main Input-Output'!$B$12="Wind",Wind!M36,IF('Main Input-Output'!$B$12="Cogeneration",-Cogen!M48,-Efficiency!M57))))</f>
        <v>0</v>
      </c>
      <c r="N43" s="230">
        <f>IF($B$9&lt;N$41,0,IF('Main Input-Output'!$B$12="PV",-PV!N33,IF('Main Input-Output'!$B$12="Wind",Wind!N36,IF('Main Input-Output'!$B$12="Cogeneration",-Cogen!N48,-Efficiency!N57))))</f>
        <v>0</v>
      </c>
      <c r="O43" s="230">
        <f>IF($B$9&lt;O$41,0,IF('Main Input-Output'!$B$12="PV",-PV!O33,IF('Main Input-Output'!$B$12="Wind",Wind!O36,IF('Main Input-Output'!$B$12="Cogeneration",-Cogen!O48,-Efficiency!O57))))</f>
        <v>0</v>
      </c>
      <c r="P43" s="230">
        <f>IF($B$9&lt;P$41,0,IF('Main Input-Output'!$B$12="PV",-PV!P33,IF('Main Input-Output'!$B$12="Wind",Wind!P36,IF('Main Input-Output'!$B$12="Cogeneration",-Cogen!P48,-Efficiency!P57))))</f>
        <v>0</v>
      </c>
      <c r="Q43" s="230">
        <f>IF($B$9&lt;Q$41,0,IF('Main Input-Output'!$B$12="PV",-PV!Q33,IF('Main Input-Output'!$B$12="Wind",Wind!Q36,IF('Main Input-Output'!$B$12="Cogeneration",-Cogen!Q48,-Efficiency!Q57))))</f>
        <v>0</v>
      </c>
      <c r="R43" s="230">
        <f>IF($B$9&lt;R$41,0,IF('Main Input-Output'!$B$12="PV",-PV!R33,IF('Main Input-Output'!$B$12="Wind",Wind!R36,IF('Main Input-Output'!$B$12="Cogeneration",-Cogen!R48,-Efficiency!R57))))</f>
        <v>0</v>
      </c>
      <c r="S43" s="230">
        <f>IF($B$9&lt;S$41,0,IF('Main Input-Output'!$B$12="PV",-PV!S33,IF('Main Input-Output'!$B$12="Wind",Wind!S36,IF('Main Input-Output'!$B$12="Cogeneration",-Cogen!S48,-Efficiency!S57))))</f>
        <v>0</v>
      </c>
      <c r="T43" s="230">
        <f>IF($B$9&lt;T$41,0,IF('Main Input-Output'!$B$12="PV",-PV!T33,IF('Main Input-Output'!$B$12="Wind",Wind!T36,IF('Main Input-Output'!$B$12="Cogeneration",-Cogen!T48,-Efficiency!T57))))</f>
        <v>0</v>
      </c>
      <c r="U43" s="230">
        <f>IF($B$9&lt;U$41,0,IF('Main Input-Output'!$B$12="PV",-PV!U33,IF('Main Input-Output'!$B$12="Wind",Wind!U36,IF('Main Input-Output'!$B$12="Cogeneration",-Cogen!U48,-Efficiency!U57))))</f>
        <v>0</v>
      </c>
      <c r="V43" s="230">
        <f>IF($B$9&lt;V$41,0,IF('Main Input-Output'!$B$12="PV",-PV!V33,IF('Main Input-Output'!$B$12="Wind",Wind!V36,IF('Main Input-Output'!$B$12="Cogeneration",-Cogen!V48,-Efficiency!V57))))</f>
        <v>0</v>
      </c>
      <c r="W43" s="230">
        <f>IF($B$9&lt;W$41,0,IF('Main Input-Output'!$B$12="PV",-PV!W33,IF('Main Input-Output'!$B$12="Wind",Wind!W36,IF('Main Input-Output'!$B$12="Cogeneration",-Cogen!W48,-Efficiency!W57))))</f>
        <v>0</v>
      </c>
      <c r="X43" s="230">
        <f>IF($B$9&lt;X$41,0,IF('Main Input-Output'!$B$12="PV",-PV!X33,IF('Main Input-Output'!$B$12="Wind",Wind!X36,IF('Main Input-Output'!$B$12="Cogeneration",-Cogen!X48,-Efficiency!X57))))</f>
        <v>0</v>
      </c>
      <c r="Y43" s="230">
        <f>IF($B$9&lt;Y$41,0,IF('Main Input-Output'!$B$12="PV",-PV!Y33,IF('Main Input-Output'!$B$12="Wind",Wind!Y36,IF('Main Input-Output'!$B$12="Cogeneration",-Cogen!Y48,-Efficiency!Y57))))</f>
        <v>0</v>
      </c>
      <c r="Z43" s="230">
        <f>IF($B$9&lt;Z$41,0,IF('Main Input-Output'!$B$12="PV",-PV!Z33,IF('Main Input-Output'!$B$12="Wind",Wind!Z36,IF('Main Input-Output'!$B$12="Cogeneration",-Cogen!Z48,-Efficiency!Z57))))</f>
        <v>0</v>
      </c>
      <c r="AA43" s="230">
        <f>IF($B$9&lt;AA$41,0,IF('Main Input-Output'!$B$12="PV",-PV!AA33,IF('Main Input-Output'!$B$12="Wind",Wind!AA36,IF('Main Input-Output'!$B$12="Cogeneration",-Cogen!AA48,-Efficiency!AA57))))</f>
        <v>0</v>
      </c>
      <c r="AB43" s="230">
        <f>IF($B$9&lt;AB$41,0,IF('Main Input-Output'!$B$12="PV",-PV!AB33,IF('Main Input-Output'!$B$12="Wind",Wind!AB36,IF('Main Input-Output'!$B$12="Cogeneration",-Cogen!AB48,-Efficiency!AB57))))</f>
        <v>0</v>
      </c>
      <c r="AC43" s="230">
        <f>IF($B$9&lt;AC$41,0,IF('Main Input-Output'!$B$12="PV",-PV!AC33,IF('Main Input-Output'!$B$12="Wind",Wind!AC36,IF('Main Input-Output'!$B$12="Cogeneration",-Cogen!AC48,-Efficiency!AC57))))</f>
        <v>0</v>
      </c>
      <c r="AD43" s="230">
        <f>IF($B$9&lt;AD$41,0,IF('Main Input-Output'!$B$12="PV",-PV!AD33,IF('Main Input-Output'!$B$12="Wind",Wind!AD36,IF('Main Input-Output'!$B$12="Cogeneration",-Cogen!AD48,-Efficiency!AD57))))</f>
        <v>0</v>
      </c>
      <c r="AE43" s="230">
        <f>IF($B$9&lt;AE$41,0,IF('Main Input-Output'!$B$12="PV",-PV!AE33,IF('Main Input-Output'!$B$12="Wind",Wind!AE36,IF('Main Input-Output'!$B$12="Cogeneration",-Cogen!AE48,-Efficiency!AE57))))</f>
        <v>0</v>
      </c>
      <c r="AF43" s="230">
        <f>IF($B$9&lt;AF$41,0,IF('Main Input-Output'!$B$12="PV",-PV!AF33,IF('Main Input-Output'!$B$12="Wind",Wind!AF36,IF('Main Input-Output'!$B$12="Cogeneration",-Cogen!AF48,-Efficiency!AF57))))</f>
        <v>0</v>
      </c>
      <c r="AG43" s="137"/>
    </row>
    <row r="44" spans="1:93" s="151" customFormat="1">
      <c r="A44" s="231" t="str">
        <f>languages!A173</f>
        <v>Costos Administrativos</v>
      </c>
      <c r="B44" s="230">
        <f>'Main Input-Output'!B18</f>
        <v>0</v>
      </c>
      <c r="C44" s="230">
        <f>IF($B$9&lt;C$41,0,IF('Main Input-Output'!$B$12="PV",-PV!C34,IF('Main Input-Output'!$B$12="Wind",Wind!C37,IF('Main Input-Output'!$B$12="Cogeneration",-Cogen!C49,-Efficiency!C58))))</f>
        <v>0</v>
      </c>
      <c r="D44" s="230">
        <f>IF($B$9&lt;D$41,0,IF('Main Input-Output'!$B$12="PV",-PV!D34,IF('Main Input-Output'!$B$12="Wind",Wind!D37,IF('Main Input-Output'!$B$12="Cogeneration",-Cogen!D49,-Efficiency!D58))))</f>
        <v>0</v>
      </c>
      <c r="E44" s="230">
        <f>IF($B$9&lt;E$41,0,IF('Main Input-Output'!$B$12="PV",-PV!E34,IF('Main Input-Output'!$B$12="Wind",Wind!E37,IF('Main Input-Output'!$B$12="Cogeneration",-Cogen!E49,-Efficiency!E58))))</f>
        <v>0</v>
      </c>
      <c r="F44" s="230">
        <f>IF($B$9&lt;F$41,0,IF('Main Input-Output'!$B$12="PV",-PV!F34,IF('Main Input-Output'!$B$12="Wind",Wind!F37,IF('Main Input-Output'!$B$12="Cogeneration",-Cogen!F49,-Efficiency!F58))))</f>
        <v>0</v>
      </c>
      <c r="G44" s="230">
        <f>IF($B$9&lt;G$41,0,IF('Main Input-Output'!$B$12="PV",-PV!G34,IF('Main Input-Output'!$B$12="Wind",Wind!G37,IF('Main Input-Output'!$B$12="Cogeneration",-Cogen!G49,-Efficiency!G58))))</f>
        <v>0</v>
      </c>
      <c r="H44" s="230">
        <f>IF($B$9&lt;H$41,0,IF('Main Input-Output'!$B$12="PV",-PV!H34,IF('Main Input-Output'!$B$12="Wind",Wind!H37,IF('Main Input-Output'!$B$12="Cogeneration",-Cogen!H49,-Efficiency!H58))))</f>
        <v>0</v>
      </c>
      <c r="I44" s="230">
        <f>IF($B$9&lt;I$41,0,IF('Main Input-Output'!$B$12="PV",-PV!I34,IF('Main Input-Output'!$B$12="Wind",Wind!I37,IF('Main Input-Output'!$B$12="Cogeneration",-Cogen!I49,-Efficiency!I58))))</f>
        <v>0</v>
      </c>
      <c r="J44" s="230">
        <f>IF($B$9&lt;J$41,0,IF('Main Input-Output'!$B$12="PV",-PV!J34,IF('Main Input-Output'!$B$12="Wind",Wind!J37,IF('Main Input-Output'!$B$12="Cogeneration",-Cogen!J49,-Efficiency!J58))))</f>
        <v>0</v>
      </c>
      <c r="K44" s="230">
        <f>IF($B$9&lt;K$41,0,IF('Main Input-Output'!$B$12="PV",-PV!K34,IF('Main Input-Output'!$B$12="Wind",Wind!K37,IF('Main Input-Output'!$B$12="Cogeneration",-Cogen!K49,-Efficiency!K58))))</f>
        <v>0</v>
      </c>
      <c r="L44" s="230">
        <f>IF($B$9&lt;L$41,0,IF('Main Input-Output'!$B$12="PV",-PV!L34,IF('Main Input-Output'!$B$12="Wind",Wind!L37,IF('Main Input-Output'!$B$12="Cogeneration",-Cogen!L49,-Efficiency!L58))))</f>
        <v>0</v>
      </c>
      <c r="M44" s="230">
        <f>IF($B$9&lt;M$41,0,IF('Main Input-Output'!$B$12="PV",-PV!M34,IF('Main Input-Output'!$B$12="Wind",Wind!M37,IF('Main Input-Output'!$B$12="Cogeneration",-Cogen!M49,-Efficiency!M58))))</f>
        <v>0</v>
      </c>
      <c r="N44" s="230">
        <f>IF($B$9&lt;N$41,0,IF('Main Input-Output'!$B$12="PV",-PV!N34,IF('Main Input-Output'!$B$12="Wind",Wind!N37,IF('Main Input-Output'!$B$12="Cogeneration",-Cogen!N49,-Efficiency!N58))))</f>
        <v>0</v>
      </c>
      <c r="O44" s="230">
        <f>IF($B$9&lt;O$41,0,IF('Main Input-Output'!$B$12="PV",-PV!O34,IF('Main Input-Output'!$B$12="Wind",Wind!O37,IF('Main Input-Output'!$B$12="Cogeneration",-Cogen!O49,-Efficiency!O58))))</f>
        <v>0</v>
      </c>
      <c r="P44" s="230">
        <f>IF($B$9&lt;P$41,0,IF('Main Input-Output'!$B$12="PV",-PV!P34,IF('Main Input-Output'!$B$12="Wind",Wind!P37,IF('Main Input-Output'!$B$12="Cogeneration",-Cogen!P49,-Efficiency!P58))))</f>
        <v>0</v>
      </c>
      <c r="Q44" s="230">
        <f>IF($B$9&lt;Q$41,0,IF('Main Input-Output'!$B$12="PV",-PV!Q34,IF('Main Input-Output'!$B$12="Wind",Wind!Q37,IF('Main Input-Output'!$B$12="Cogeneration",-Cogen!Q49,-Efficiency!Q58))))</f>
        <v>0</v>
      </c>
      <c r="R44" s="230">
        <f>IF($B$9&lt;R$41,0,IF('Main Input-Output'!$B$12="PV",-PV!R34,IF('Main Input-Output'!$B$12="Wind",Wind!R37,IF('Main Input-Output'!$B$12="Cogeneration",-Cogen!R49,-Efficiency!R58))))</f>
        <v>0</v>
      </c>
      <c r="S44" s="230">
        <f>IF($B$9&lt;S$41,0,IF('Main Input-Output'!$B$12="PV",-PV!S34,IF('Main Input-Output'!$B$12="Wind",Wind!S37,IF('Main Input-Output'!$B$12="Cogeneration",-Cogen!S49,-Efficiency!S58))))</f>
        <v>0</v>
      </c>
      <c r="T44" s="230">
        <f>IF($B$9&lt;T$41,0,IF('Main Input-Output'!$B$12="PV",-PV!T34,IF('Main Input-Output'!$B$12="Wind",Wind!T37,IF('Main Input-Output'!$B$12="Cogeneration",-Cogen!T49,-Efficiency!T58))))</f>
        <v>0</v>
      </c>
      <c r="U44" s="230">
        <f>IF($B$9&lt;U$41,0,IF('Main Input-Output'!$B$12="PV",-PV!U34,IF('Main Input-Output'!$B$12="Wind",Wind!U37,IF('Main Input-Output'!$B$12="Cogeneration",-Cogen!U49,-Efficiency!U58))))</f>
        <v>0</v>
      </c>
      <c r="V44" s="230">
        <f>IF($B$9&lt;V$41,0,IF('Main Input-Output'!$B$12="PV",-PV!V34,IF('Main Input-Output'!$B$12="Wind",Wind!V37,IF('Main Input-Output'!$B$12="Cogeneration",-Cogen!V49,-Efficiency!V58))))</f>
        <v>0</v>
      </c>
      <c r="W44" s="230">
        <f>IF($B$9&lt;W$41,0,IF('Main Input-Output'!$B$12="PV",-PV!W34,IF('Main Input-Output'!$B$12="Wind",Wind!W37,IF('Main Input-Output'!$B$12="Cogeneration",-Cogen!W49,-Efficiency!W58))))</f>
        <v>0</v>
      </c>
      <c r="X44" s="230">
        <f>IF($B$9&lt;X$41,0,IF('Main Input-Output'!$B$12="PV",-PV!X34,IF('Main Input-Output'!$B$12="Wind",Wind!X37,IF('Main Input-Output'!$B$12="Cogeneration",-Cogen!X49,-Efficiency!X58))))</f>
        <v>0</v>
      </c>
      <c r="Y44" s="230">
        <f>IF($B$9&lt;Y$41,0,IF('Main Input-Output'!$B$12="PV",-PV!Y34,IF('Main Input-Output'!$B$12="Wind",Wind!Y37,IF('Main Input-Output'!$B$12="Cogeneration",-Cogen!Y49,-Efficiency!Y58))))</f>
        <v>0</v>
      </c>
      <c r="Z44" s="230">
        <f>IF($B$9&lt;Z$41,0,IF('Main Input-Output'!$B$12="PV",-PV!Z34,IF('Main Input-Output'!$B$12="Wind",Wind!Z37,IF('Main Input-Output'!$B$12="Cogeneration",-Cogen!Z49,-Efficiency!Z58))))</f>
        <v>0</v>
      </c>
      <c r="AA44" s="230">
        <f>IF($B$9&lt;AA$41,0,IF('Main Input-Output'!$B$12="PV",-PV!AA34,IF('Main Input-Output'!$B$12="Wind",Wind!AA37,IF('Main Input-Output'!$B$12="Cogeneration",-Cogen!AA49,-Efficiency!AA58))))</f>
        <v>0</v>
      </c>
      <c r="AB44" s="230">
        <f>IF($B$9&lt;AB$41,0,IF('Main Input-Output'!$B$12="PV",-PV!AB34,IF('Main Input-Output'!$B$12="Wind",Wind!AB37,IF('Main Input-Output'!$B$12="Cogeneration",-Cogen!AB49,-Efficiency!AB58))))</f>
        <v>0</v>
      </c>
      <c r="AC44" s="230">
        <f>IF($B$9&lt;AC$41,0,IF('Main Input-Output'!$B$12="PV",-PV!AC34,IF('Main Input-Output'!$B$12="Wind",Wind!AC37,IF('Main Input-Output'!$B$12="Cogeneration",-Cogen!AC49,-Efficiency!AC58))))</f>
        <v>0</v>
      </c>
      <c r="AD44" s="230">
        <f>IF($B$9&lt;AD$41,0,IF('Main Input-Output'!$B$12="PV",-PV!AD34,IF('Main Input-Output'!$B$12="Wind",Wind!AD37,IF('Main Input-Output'!$B$12="Cogeneration",-Cogen!AD49,-Efficiency!AD58))))</f>
        <v>0</v>
      </c>
      <c r="AE44" s="230">
        <f>IF($B$9&lt;AE$41,0,IF('Main Input-Output'!$B$12="PV",-PV!AE34,IF('Main Input-Output'!$B$12="Wind",Wind!AE37,IF('Main Input-Output'!$B$12="Cogeneration",-Cogen!AE49,-Efficiency!AE58))))</f>
        <v>0</v>
      </c>
      <c r="AF44" s="230">
        <f>IF($B$9&lt;AF$41,0,IF('Main Input-Output'!$B$12="PV",-PV!AF34,IF('Main Input-Output'!$B$12="Wind",Wind!AF37,IF('Main Input-Output'!$B$12="Cogeneration",-Cogen!AF49,-Efficiency!AF58))))</f>
        <v>0</v>
      </c>
      <c r="AG44" s="149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</row>
    <row r="45" spans="1:93">
      <c r="A45" s="231" t="str">
        <f>languages!A176</f>
        <v>Costos Combustible</v>
      </c>
      <c r="B45" s="230">
        <f>'Main Input-Output'!B19</f>
        <v>0</v>
      </c>
      <c r="C45" s="230">
        <f>IF($B$9&lt;C$41,0,IF('Main Input-Output'!$B$12="PV",0,IF('Main Input-Output'!$B$12="Wind",0,IF('Main Input-Output'!$B$12="Cogeneration",-Cogen!C50,0))))</f>
        <v>0</v>
      </c>
      <c r="D45" s="230">
        <f>IF($B$9&lt;D$41,0,IF('Main Input-Output'!$B$12="PV",0,IF('Main Input-Output'!$B$12="Wind",0,IF('Main Input-Output'!$B$12="Cogeneration",-Cogen!D50,0))))</f>
        <v>0</v>
      </c>
      <c r="E45" s="230">
        <f>IF($B$9&lt;E$41,0,IF('Main Input-Output'!$B$12="PV",0,IF('Main Input-Output'!$B$12="Wind",0,IF('Main Input-Output'!$B$12="Cogeneration",-Cogen!E50,0))))</f>
        <v>0</v>
      </c>
      <c r="F45" s="230">
        <f>IF($B$9&lt;F$41,0,IF('Main Input-Output'!$B$12="PV",0,IF('Main Input-Output'!$B$12="Wind",0,IF('Main Input-Output'!$B$12="Cogeneration",-Cogen!F50,0))))</f>
        <v>0</v>
      </c>
      <c r="G45" s="230">
        <f>IF($B$9&lt;G$41,0,IF('Main Input-Output'!$B$12="PV",0,IF('Main Input-Output'!$B$12="Wind",0,IF('Main Input-Output'!$B$12="Cogeneration",-Cogen!G50,0))))</f>
        <v>0</v>
      </c>
      <c r="H45" s="230">
        <f>IF($B$9&lt;H$41,0,IF('Main Input-Output'!$B$12="PV",0,IF('Main Input-Output'!$B$12="Wind",0,IF('Main Input-Output'!$B$12="Cogeneration",-Cogen!H50,0))))</f>
        <v>0</v>
      </c>
      <c r="I45" s="230">
        <f>IF($B$9&lt;I$41,0,IF('Main Input-Output'!$B$12="PV",0,IF('Main Input-Output'!$B$12="Wind",0,IF('Main Input-Output'!$B$12="Cogeneration",-Cogen!I50,0))))</f>
        <v>0</v>
      </c>
      <c r="J45" s="230">
        <f>IF($B$9&lt;J$41,0,IF('Main Input-Output'!$B$12="PV",0,IF('Main Input-Output'!$B$12="Wind",0,IF('Main Input-Output'!$B$12="Cogeneration",-Cogen!J50,0))))</f>
        <v>0</v>
      </c>
      <c r="K45" s="230">
        <f>IF($B$9&lt;K$41,0,IF('Main Input-Output'!$B$12="PV",0,IF('Main Input-Output'!$B$12="Wind",0,IF('Main Input-Output'!$B$12="Cogeneration",-Cogen!K50,0))))</f>
        <v>0</v>
      </c>
      <c r="L45" s="230">
        <f>IF($B$9&lt;L$41,0,IF('Main Input-Output'!$B$12="PV",0,IF('Main Input-Output'!$B$12="Wind",0,IF('Main Input-Output'!$B$12="Cogeneration",-Cogen!L50,0))))</f>
        <v>0</v>
      </c>
      <c r="M45" s="230">
        <f>IF($B$9&lt;M$41,0,IF('Main Input-Output'!$B$12="PV",0,IF('Main Input-Output'!$B$12="Wind",0,IF('Main Input-Output'!$B$12="Cogeneration",-Cogen!M50,0))))</f>
        <v>0</v>
      </c>
      <c r="N45" s="230">
        <f>IF($B$9&lt;N$41,0,IF('Main Input-Output'!$B$12="PV",0,IF('Main Input-Output'!$B$12="Wind",0,IF('Main Input-Output'!$B$12="Cogeneration",-Cogen!N50,0))))</f>
        <v>0</v>
      </c>
      <c r="O45" s="230">
        <f>IF($B$9&lt;O$41,0,IF('Main Input-Output'!$B$12="PV",0,IF('Main Input-Output'!$B$12="Wind",0,IF('Main Input-Output'!$B$12="Cogeneration",-Cogen!O50,0))))</f>
        <v>0</v>
      </c>
      <c r="P45" s="230">
        <f>IF($B$9&lt;P$41,0,IF('Main Input-Output'!$B$12="PV",0,IF('Main Input-Output'!$B$12="Wind",0,IF('Main Input-Output'!$B$12="Cogeneration",-Cogen!P50,0))))</f>
        <v>0</v>
      </c>
      <c r="Q45" s="230">
        <f>IF($B$9&lt;Q$41,0,IF('Main Input-Output'!$B$12="PV",0,IF('Main Input-Output'!$B$12="Wind",0,IF('Main Input-Output'!$B$12="Cogeneration",-Cogen!Q50,0))))</f>
        <v>0</v>
      </c>
      <c r="R45" s="230">
        <f>IF($B$9&lt;R$41,0,IF('Main Input-Output'!$B$12="PV",0,IF('Main Input-Output'!$B$12="Wind",0,IF('Main Input-Output'!$B$12="Cogeneration",-Cogen!R50,0))))</f>
        <v>0</v>
      </c>
      <c r="S45" s="230">
        <f>IF($B$9&lt;S$41,0,IF('Main Input-Output'!$B$12="PV",0,IF('Main Input-Output'!$B$12="Wind",0,IF('Main Input-Output'!$B$12="Cogeneration",-Cogen!S50,0))))</f>
        <v>0</v>
      </c>
      <c r="T45" s="230">
        <f>IF($B$9&lt;T$41,0,IF('Main Input-Output'!$B$12="PV",0,IF('Main Input-Output'!$B$12="Wind",0,IF('Main Input-Output'!$B$12="Cogeneration",-Cogen!T50,0))))</f>
        <v>0</v>
      </c>
      <c r="U45" s="230">
        <f>IF($B$9&lt;U$41,0,IF('Main Input-Output'!$B$12="PV",0,IF('Main Input-Output'!$B$12="Wind",0,IF('Main Input-Output'!$B$12="Cogeneration",-Cogen!U50,0))))</f>
        <v>0</v>
      </c>
      <c r="V45" s="230">
        <f>IF($B$9&lt;V$41,0,IF('Main Input-Output'!$B$12="PV",0,IF('Main Input-Output'!$B$12="Wind",0,IF('Main Input-Output'!$B$12="Cogeneration",-Cogen!V50,0))))</f>
        <v>0</v>
      </c>
      <c r="W45" s="230">
        <f>IF($B$9&lt;W$41,0,IF('Main Input-Output'!$B$12="PV",0,IF('Main Input-Output'!$B$12="Wind",0,IF('Main Input-Output'!$B$12="Cogeneration",-Cogen!W50,0))))</f>
        <v>0</v>
      </c>
      <c r="X45" s="230">
        <f>IF($B$9&lt;X$41,0,IF('Main Input-Output'!$B$12="PV",0,IF('Main Input-Output'!$B$12="Wind",0,IF('Main Input-Output'!$B$12="Cogeneration",-Cogen!X50,0))))</f>
        <v>0</v>
      </c>
      <c r="Y45" s="230">
        <f>IF($B$9&lt;Y$41,0,IF('Main Input-Output'!$B$12="PV",0,IF('Main Input-Output'!$B$12="Wind",0,IF('Main Input-Output'!$B$12="Cogeneration",-Cogen!Y50,0))))</f>
        <v>0</v>
      </c>
      <c r="Z45" s="230">
        <f>IF($B$9&lt;Z$41,0,IF('Main Input-Output'!$B$12="PV",0,IF('Main Input-Output'!$B$12="Wind",0,IF('Main Input-Output'!$B$12="Cogeneration",-Cogen!Z50,0))))</f>
        <v>0</v>
      </c>
      <c r="AA45" s="230">
        <f>IF($B$9&lt;AA$41,0,IF('Main Input-Output'!$B$12="PV",0,IF('Main Input-Output'!$B$12="Wind",0,IF('Main Input-Output'!$B$12="Cogeneration",-Cogen!AA50,0))))</f>
        <v>0</v>
      </c>
      <c r="AB45" s="230">
        <f>IF($B$9&lt;AB$41,0,IF('Main Input-Output'!$B$12="PV",0,IF('Main Input-Output'!$B$12="Wind",0,IF('Main Input-Output'!$B$12="Cogeneration",-Cogen!AB50,0))))</f>
        <v>0</v>
      </c>
      <c r="AC45" s="230">
        <f>IF($B$9&lt;AC$41,0,IF('Main Input-Output'!$B$12="PV",0,IF('Main Input-Output'!$B$12="Wind",0,IF('Main Input-Output'!$B$12="Cogeneration",-Cogen!AC50,0))))</f>
        <v>0</v>
      </c>
      <c r="AD45" s="230">
        <f>IF($B$9&lt;AD$41,0,IF('Main Input-Output'!$B$12="PV",0,IF('Main Input-Output'!$B$12="Wind",0,IF('Main Input-Output'!$B$12="Cogeneration",-Cogen!AD50,0))))</f>
        <v>0</v>
      </c>
      <c r="AE45" s="230">
        <f>IF($B$9&lt;AE$41,0,IF('Main Input-Output'!$B$12="PV",0,IF('Main Input-Output'!$B$12="Wind",0,IF('Main Input-Output'!$B$12="Cogeneration",-Cogen!AE50,0))))</f>
        <v>0</v>
      </c>
      <c r="AF45" s="230">
        <f>IF($B$9&lt;AF$41,0,IF('Main Input-Output'!$B$12="PV",0,IF('Main Input-Output'!$B$12="Wind",0,IF('Main Input-Output'!$B$12="Cogeneration",-Cogen!AF50,0))))</f>
        <v>0</v>
      </c>
      <c r="AG45" s="137"/>
    </row>
    <row r="46" spans="1:93">
      <c r="A46" s="231" t="str">
        <f>languages!A174</f>
        <v>Costos Mantención</v>
      </c>
      <c r="B46" s="230">
        <f>'Main Input-Output'!B20</f>
        <v>-1220</v>
      </c>
      <c r="C46" s="230">
        <f>IF($B$9&lt;C$41,0,IF('Main Input-Output'!$B$12="PV",-PV!C35,IF('Main Input-Output'!$B$12="Wind",-Wind!C38,IF('Main Input-Output'!$B$12="Cogeneration",-Cogen!C51,-Efficiency!C62))))</f>
        <v>-1220</v>
      </c>
      <c r="D46" s="230">
        <f>IF($B$9&lt;D$41,0,IF('Main Input-Output'!$B$12="PV",-PV!D35,IF('Main Input-Output'!$B$12="Wind",-Wind!D38,IF('Main Input-Output'!$B$12="Cogeneration",-Cogen!D51,-Efficiency!D62))))</f>
        <v>-1256.6000000000001</v>
      </c>
      <c r="E46" s="230">
        <f>IF($B$9&lt;E$41,0,IF('Main Input-Output'!$B$12="PV",-PV!E35,IF('Main Input-Output'!$B$12="Wind",-Wind!E38,IF('Main Input-Output'!$B$12="Cogeneration",-Cogen!E51,-Efficiency!E62))))</f>
        <v>-1294.2980000000002</v>
      </c>
      <c r="F46" s="230">
        <f>IF($B$9&lt;F$41,0,IF('Main Input-Output'!$B$12="PV",-PV!F35,IF('Main Input-Output'!$B$12="Wind",-Wind!F38,IF('Main Input-Output'!$B$12="Cogeneration",-Cogen!F51,-Efficiency!F62))))</f>
        <v>-1333.1269400000003</v>
      </c>
      <c r="G46" s="230">
        <f>IF($B$9&lt;G$41,0,IF('Main Input-Output'!$B$12="PV",-PV!G35,IF('Main Input-Output'!$B$12="Wind",-Wind!G38,IF('Main Input-Output'!$B$12="Cogeneration",-Cogen!G51,-Efficiency!G62))))</f>
        <v>-1373.1207482000004</v>
      </c>
      <c r="H46" s="230">
        <f>IF($B$9&lt;H$41,0,IF('Main Input-Output'!$B$12="PV",-PV!H35,IF('Main Input-Output'!$B$12="Wind",-Wind!H38,IF('Main Input-Output'!$B$12="Cogeneration",-Cogen!H51,-Efficiency!H62))))</f>
        <v>-1414.3143706460005</v>
      </c>
      <c r="I46" s="230">
        <f>IF($B$9&lt;I$41,0,IF('Main Input-Output'!$B$12="PV",-PV!I35,IF('Main Input-Output'!$B$12="Wind",-Wind!I38,IF('Main Input-Output'!$B$12="Cogeneration",-Cogen!I51,-Efficiency!I62))))</f>
        <v>-1456.7438017653806</v>
      </c>
      <c r="J46" s="230">
        <f>IF($B$9&lt;J$41,0,IF('Main Input-Output'!$B$12="PV",-PV!J35,IF('Main Input-Output'!$B$12="Wind",-Wind!J38,IF('Main Input-Output'!$B$12="Cogeneration",-Cogen!J51,-Efficiency!J62))))</f>
        <v>-1500.4461158183419</v>
      </c>
      <c r="K46" s="230">
        <f>IF($B$9&lt;K$41,0,IF('Main Input-Output'!$B$12="PV",-PV!K35,IF('Main Input-Output'!$B$12="Wind",-Wind!K38,IF('Main Input-Output'!$B$12="Cogeneration",-Cogen!K51,-Efficiency!K62))))</f>
        <v>-1545.4594992928921</v>
      </c>
      <c r="L46" s="230">
        <f>IF($B$9&lt;L$41,0,IF('Main Input-Output'!$B$12="PV",-PV!L35,IF('Main Input-Output'!$B$12="Wind",-Wind!L38,IF('Main Input-Output'!$B$12="Cogeneration",-Cogen!L51,-Efficiency!L62))))</f>
        <v>-1591.8232842716789</v>
      </c>
      <c r="M46" s="230">
        <f>IF($B$9&lt;M$41,0,IF('Main Input-Output'!$B$12="PV",-PV!M35,IF('Main Input-Output'!$B$12="Wind",-Wind!M38,IF('Main Input-Output'!$B$12="Cogeneration",-Cogen!M51,-Efficiency!M62))))</f>
        <v>-1639.5779827998292</v>
      </c>
      <c r="N46" s="230">
        <f>IF($B$9&lt;N$41,0,IF('Main Input-Output'!$B$12="PV",-PV!N35,IF('Main Input-Output'!$B$12="Wind",-Wind!N38,IF('Main Input-Output'!$B$12="Cogeneration",-Cogen!N51,-Efficiency!N62))))</f>
        <v>-1688.7653222838242</v>
      </c>
      <c r="O46" s="230">
        <f>IF($B$9&lt;O$41,0,IF('Main Input-Output'!$B$12="PV",-PV!O35,IF('Main Input-Output'!$B$12="Wind",-Wind!O38,IF('Main Input-Output'!$B$12="Cogeneration",-Cogen!O51,-Efficiency!O62))))</f>
        <v>-1739.4282819523389</v>
      </c>
      <c r="P46" s="230">
        <f>IF($B$9&lt;P$41,0,IF('Main Input-Output'!$B$12="PV",-PV!P35,IF('Main Input-Output'!$B$12="Wind",-Wind!P38,IF('Main Input-Output'!$B$12="Cogeneration",-Cogen!P51,-Efficiency!P62))))</f>
        <v>-1791.611130410909</v>
      </c>
      <c r="Q46" s="230">
        <f>IF($B$9&lt;Q$41,0,IF('Main Input-Output'!$B$12="PV",-PV!Q35,IF('Main Input-Output'!$B$12="Wind",-Wind!Q38,IF('Main Input-Output'!$B$12="Cogeneration",-Cogen!Q51,-Efficiency!Q62))))</f>
        <v>-1845.3594643232364</v>
      </c>
      <c r="R46" s="230">
        <f>IF($B$9&lt;R$41,0,IF('Main Input-Output'!$B$12="PV",-PV!R35,IF('Main Input-Output'!$B$12="Wind",-Wind!R38,IF('Main Input-Output'!$B$12="Cogeneration",-Cogen!R51,-Efficiency!R62))))</f>
        <v>-1900.7202482529335</v>
      </c>
      <c r="S46" s="230">
        <f>IF($B$9&lt;S$41,0,IF('Main Input-Output'!$B$12="PV",-PV!S35,IF('Main Input-Output'!$B$12="Wind",-Wind!S38,IF('Main Input-Output'!$B$12="Cogeneration",-Cogen!S51,-Efficiency!S62))))</f>
        <v>-1957.7418557005217</v>
      </c>
      <c r="T46" s="230">
        <f>IF($B$9&lt;T$41,0,IF('Main Input-Output'!$B$12="PV",-PV!T35,IF('Main Input-Output'!$B$12="Wind",-Wind!T38,IF('Main Input-Output'!$B$12="Cogeneration",-Cogen!T51,-Efficiency!T62))))</f>
        <v>-2016.4741113715374</v>
      </c>
      <c r="U46" s="230">
        <f>IF($B$9&lt;U$41,0,IF('Main Input-Output'!$B$12="PV",-PV!U35,IF('Main Input-Output'!$B$12="Wind",-Wind!U38,IF('Main Input-Output'!$B$12="Cogeneration",-Cogen!U51,-Efficiency!U62))))</f>
        <v>-2076.9683347126838</v>
      </c>
      <c r="V46" s="230">
        <f>IF($B$9&lt;V$41,0,IF('Main Input-Output'!$B$12="PV",-PV!V35,IF('Main Input-Output'!$B$12="Wind",-Wind!V38,IF('Main Input-Output'!$B$12="Cogeneration",-Cogen!V51,-Efficiency!V62))))</f>
        <v>-2139.2773847540643</v>
      </c>
      <c r="W46" s="230">
        <f>IF($B$9&lt;W$41,0,IF('Main Input-Output'!$B$12="PV",-PV!W35,IF('Main Input-Output'!$B$12="Wind",-Wind!W38,IF('Main Input-Output'!$B$12="Cogeneration",-Cogen!W51,-Efficiency!W62))))</f>
        <v>-2203.4557062966865</v>
      </c>
      <c r="X46" s="230">
        <f>IF($B$9&lt;X$41,0,IF('Main Input-Output'!$B$12="PV",-PV!X35,IF('Main Input-Output'!$B$12="Wind",-Wind!X38,IF('Main Input-Output'!$B$12="Cogeneration",-Cogen!X51,-Efficiency!X62))))</f>
        <v>-2269.559377485587</v>
      </c>
      <c r="Y46" s="230">
        <f>IF($B$9&lt;Y$41,0,IF('Main Input-Output'!$B$12="PV",-PV!Y35,IF('Main Input-Output'!$B$12="Wind",-Wind!Y38,IF('Main Input-Output'!$B$12="Cogeneration",-Cogen!Y51,-Efficiency!Y62))))</f>
        <v>-2337.6461588101547</v>
      </c>
      <c r="Z46" s="230">
        <f>IF($B$9&lt;Z$41,0,IF('Main Input-Output'!$B$12="PV",-PV!Z35,IF('Main Input-Output'!$B$12="Wind",-Wind!Z38,IF('Main Input-Output'!$B$12="Cogeneration",-Cogen!Z51,-Efficiency!Z62))))</f>
        <v>-2407.7755435744593</v>
      </c>
      <c r="AA46" s="230">
        <f>IF($B$9&lt;AA$41,0,IF('Main Input-Output'!$B$12="PV",-PV!AA35,IF('Main Input-Output'!$B$12="Wind",-Wind!AA38,IF('Main Input-Output'!$B$12="Cogeneration",-Cogen!AA51,-Efficiency!AA62))))</f>
        <v>-2480.0088098816932</v>
      </c>
      <c r="AB46" s="230">
        <f>IF($B$9&lt;AB$41,0,IF('Main Input-Output'!$B$12="PV",-PV!AB35,IF('Main Input-Output'!$B$12="Wind",-Wind!AB38,IF('Main Input-Output'!$B$12="Cogeneration",-Cogen!AB51,-Efficiency!AB62))))</f>
        <v>0</v>
      </c>
      <c r="AC46" s="230">
        <f>IF($B$9&lt;AC$41,0,IF('Main Input-Output'!$B$12="PV",-PV!AC35,IF('Main Input-Output'!$B$12="Wind",-Wind!AC38,IF('Main Input-Output'!$B$12="Cogeneration",-Cogen!AC51,-Efficiency!AC62))))</f>
        <v>0</v>
      </c>
      <c r="AD46" s="230">
        <f>IF($B$9&lt;AD$41,0,IF('Main Input-Output'!$B$12="PV",-PV!AD35,IF('Main Input-Output'!$B$12="Wind",-Wind!AD38,IF('Main Input-Output'!$B$12="Cogeneration",-Cogen!AD51,-Efficiency!AD62))))</f>
        <v>0</v>
      </c>
      <c r="AE46" s="230">
        <f>IF($B$9&lt;AE$41,0,IF('Main Input-Output'!$B$12="PV",-PV!AE35,IF('Main Input-Output'!$B$12="Wind",-Wind!AE38,IF('Main Input-Output'!$B$12="Cogeneration",-Cogen!AE51,-Efficiency!AE62))))</f>
        <v>0</v>
      </c>
      <c r="AF46" s="230">
        <f>IF($B$9&lt;AF$41,0,IF('Main Input-Output'!$B$12="PV",-PV!AF35,IF('Main Input-Output'!$B$12="Wind",-Wind!AF38,IF('Main Input-Output'!$B$12="Cogeneration",-Cogen!AF51,-Efficiency!AF62))))</f>
        <v>0</v>
      </c>
      <c r="AG46" s="137"/>
    </row>
    <row r="47" spans="1:93">
      <c r="A47" s="231" t="str">
        <f>languages!A175</f>
        <v>Costos Esporádicos</v>
      </c>
      <c r="B47" s="230"/>
      <c r="C47" s="230">
        <f>IF($B$9&lt;C$41,0,IF('Main Input-Output'!$B$12="PV",-PV!C36,IF('Main Input-Output'!$B$12="Wind",-Wind!C39,IF('Main Input-Output'!$B$12="Cogeneration",-Cogen!C52,-Efficiency!C63))))</f>
        <v>0</v>
      </c>
      <c r="D47" s="230">
        <f>IF($B$9&lt;D$41,0,IF('Main Input-Output'!$B$12="PV",-PV!D36,IF('Main Input-Output'!$B$12="Wind",-Wind!D39,IF('Main Input-Output'!$B$12="Cogeneration",-Cogen!D52,-Efficiency!D63))))</f>
        <v>0</v>
      </c>
      <c r="E47" s="230">
        <f>IF($B$9&lt;E$41,0,IF('Main Input-Output'!$B$12="PV",-PV!E36,IF('Main Input-Output'!$B$12="Wind",-Wind!E39,IF('Main Input-Output'!$B$12="Cogeneration",-Cogen!E52,-Efficiency!E63))))</f>
        <v>0</v>
      </c>
      <c r="F47" s="230">
        <f>IF($B$9&lt;F$41,0,IF('Main Input-Output'!$B$12="PV",-PV!F36,IF('Main Input-Output'!$B$12="Wind",-Wind!F39,IF('Main Input-Output'!$B$12="Cogeneration",-Cogen!F52,-Efficiency!F63))))</f>
        <v>0</v>
      </c>
      <c r="G47" s="230">
        <f>IF($B$9&lt;G$41,0,IF('Main Input-Output'!$B$12="PV",-PV!G36,IF('Main Input-Output'!$B$12="Wind",-Wind!G39,IF('Main Input-Output'!$B$12="Cogeneration",-Cogen!G52,-Efficiency!G63))))</f>
        <v>0</v>
      </c>
      <c r="H47" s="230">
        <f>IF($B$9&lt;H$41,0,IF('Main Input-Output'!$B$12="PV",-PV!H36,IF('Main Input-Output'!$B$12="Wind",-Wind!H39,IF('Main Input-Output'!$B$12="Cogeneration",-Cogen!H52,-Efficiency!H63))))</f>
        <v>0</v>
      </c>
      <c r="I47" s="230">
        <f>IF($B$9&lt;I$41,0,IF('Main Input-Output'!$B$12="PV",-PV!I36,IF('Main Input-Output'!$B$12="Wind",-Wind!I39,IF('Main Input-Output'!$B$12="Cogeneration",-Cogen!I52,-Efficiency!I63))))</f>
        <v>0</v>
      </c>
      <c r="J47" s="230">
        <f>IF($B$9&lt;J$41,0,IF('Main Input-Output'!$B$12="PV",-PV!J36,IF('Main Input-Output'!$B$12="Wind",-Wind!J39,IF('Main Input-Output'!$B$12="Cogeneration",-Cogen!J52,-Efficiency!J63))))</f>
        <v>0</v>
      </c>
      <c r="K47" s="230">
        <f>IF($B$9&lt;K$41,0,IF('Main Input-Output'!$B$12="PV",-PV!K36,IF('Main Input-Output'!$B$12="Wind",-Wind!K39,IF('Main Input-Output'!$B$12="Cogeneration",-Cogen!K52,-Efficiency!K63))))</f>
        <v>0</v>
      </c>
      <c r="L47" s="230">
        <f>IF($B$9&lt;L$41,0,IF('Main Input-Output'!$B$12="PV",-PV!L36,IF('Main Input-Output'!$B$12="Wind",-Wind!L39,IF('Main Input-Output'!$B$12="Cogeneration",-Cogen!L52,-Efficiency!L63))))</f>
        <v>0</v>
      </c>
      <c r="M47" s="230">
        <f>IF($B$9&lt;M$41,0,IF('Main Input-Output'!$B$12="PV",-PV!M36,IF('Main Input-Output'!$B$12="Wind",-Wind!M39,IF('Main Input-Output'!$B$12="Cogeneration",-Cogen!M52,-Efficiency!M63))))</f>
        <v>0</v>
      </c>
      <c r="N47" s="230">
        <f>IF($B$9&lt;N$41,0,IF('Main Input-Output'!$B$12="PV",-PV!N36,IF('Main Input-Output'!$B$12="Wind",-Wind!N39,IF('Main Input-Output'!$B$12="Cogeneration",-Cogen!N52,-Efficiency!N63))))</f>
        <v>0</v>
      </c>
      <c r="O47" s="230">
        <f>IF($B$9&lt;O$41,0,IF('Main Input-Output'!$B$12="PV",-PV!O36,IF('Main Input-Output'!$B$12="Wind",-Wind!O39,IF('Main Input-Output'!$B$12="Cogeneration",-Cogen!O52,-Efficiency!O63))))</f>
        <v>0</v>
      </c>
      <c r="P47" s="230">
        <f>IF($B$9&lt;P$41,0,IF('Main Input-Output'!$B$12="PV",-PV!P36,IF('Main Input-Output'!$B$12="Wind",-Wind!P39,IF('Main Input-Output'!$B$12="Cogeneration",-Cogen!P52,-Efficiency!P63))))</f>
        <v>0</v>
      </c>
      <c r="Q47" s="230">
        <f>IF($B$9&lt;Q$41,0,IF('Main Input-Output'!$B$12="PV",-PV!Q36,IF('Main Input-Output'!$B$12="Wind",-Wind!Q39,IF('Main Input-Output'!$B$12="Cogeneration",-Cogen!Q52,-Efficiency!Q63))))</f>
        <v>0</v>
      </c>
      <c r="R47" s="230">
        <f>IF($B$9&lt;R$41,0,IF('Main Input-Output'!$B$12="PV",-PV!R36,IF('Main Input-Output'!$B$12="Wind",-Wind!R39,IF('Main Input-Output'!$B$12="Cogeneration",-Cogen!R52,-Efficiency!R63))))</f>
        <v>0</v>
      </c>
      <c r="S47" s="230">
        <f>IF($B$9&lt;S$41,0,IF('Main Input-Output'!$B$12="PV",-PV!S36,IF('Main Input-Output'!$B$12="Wind",-Wind!S39,IF('Main Input-Output'!$B$12="Cogeneration",-Cogen!S52,-Efficiency!S63))))</f>
        <v>0</v>
      </c>
      <c r="T47" s="230">
        <f>IF($B$9&lt;T$41,0,IF('Main Input-Output'!$B$12="PV",-PV!T36,IF('Main Input-Output'!$B$12="Wind",-Wind!T39,IF('Main Input-Output'!$B$12="Cogeneration",-Cogen!T52,-Efficiency!T63))))</f>
        <v>0</v>
      </c>
      <c r="U47" s="230">
        <f>IF($B$9&lt;U$41,0,IF('Main Input-Output'!$B$12="PV",-PV!U36,IF('Main Input-Output'!$B$12="Wind",-Wind!U39,IF('Main Input-Output'!$B$12="Cogeneration",-Cogen!U52,-Efficiency!U63))))</f>
        <v>0</v>
      </c>
      <c r="V47" s="230">
        <f>IF($B$9&lt;V$41,0,IF('Main Input-Output'!$B$12="PV",-PV!V36,IF('Main Input-Output'!$B$12="Wind",-Wind!V39,IF('Main Input-Output'!$B$12="Cogeneration",-Cogen!V52,-Efficiency!V63))))</f>
        <v>0</v>
      </c>
      <c r="W47" s="230">
        <f>IF($B$9&lt;W$41,0,IF('Main Input-Output'!$B$12="PV",-PV!W36,IF('Main Input-Output'!$B$12="Wind",-Wind!W39,IF('Main Input-Output'!$B$12="Cogeneration",-Cogen!W52,-Efficiency!W63))))</f>
        <v>0</v>
      </c>
      <c r="X47" s="230">
        <f>IF($B$9&lt;X$41,0,IF('Main Input-Output'!$B$12="PV",-PV!X36,IF('Main Input-Output'!$B$12="Wind",-Wind!X39,IF('Main Input-Output'!$B$12="Cogeneration",-Cogen!X52,-Efficiency!X63))))</f>
        <v>0</v>
      </c>
      <c r="Y47" s="230">
        <f>IF($B$9&lt;Y$41,0,IF('Main Input-Output'!$B$12="PV",-PV!Y36,IF('Main Input-Output'!$B$12="Wind",-Wind!Y39,IF('Main Input-Output'!$B$12="Cogeneration",-Cogen!Y52,-Efficiency!Y63))))</f>
        <v>0</v>
      </c>
      <c r="Z47" s="230">
        <f>IF($B$9&lt;Z$41,0,IF('Main Input-Output'!$B$12="PV",-PV!Z36,IF('Main Input-Output'!$B$12="Wind",-Wind!Z39,IF('Main Input-Output'!$B$12="Cogeneration",-Cogen!Z52,-Efficiency!Z63))))</f>
        <v>0</v>
      </c>
      <c r="AA47" s="230">
        <f>IF($B$9&lt;AA$41,0,IF('Main Input-Output'!$B$12="PV",-PV!AA36,IF('Main Input-Output'!$B$12="Wind",-Wind!AA39,IF('Main Input-Output'!$B$12="Cogeneration",-Cogen!AA52,-Efficiency!AA63))))</f>
        <v>0</v>
      </c>
      <c r="AB47" s="230">
        <f>IF($B$9&lt;AB$41,0,IF('Main Input-Output'!$B$12="PV",-PV!AB36,IF('Main Input-Output'!$B$12="Wind",-Wind!AB39,IF('Main Input-Output'!$B$12="Cogeneration",-Cogen!AB52,-Efficiency!AB63))))</f>
        <v>0</v>
      </c>
      <c r="AC47" s="230">
        <f>IF($B$9&lt;AC$41,0,IF('Main Input-Output'!$B$12="PV",-PV!AC36,IF('Main Input-Output'!$B$12="Wind",-Wind!AC39,IF('Main Input-Output'!$B$12="Cogeneration",-Cogen!AC52,-Efficiency!AC63))))</f>
        <v>0</v>
      </c>
      <c r="AD47" s="230">
        <f>IF($B$9&lt;AD$41,0,IF('Main Input-Output'!$B$12="PV",-PV!AD36,IF('Main Input-Output'!$B$12="Wind",-Wind!AD39,IF('Main Input-Output'!$B$12="Cogeneration",-Cogen!AD52,-Efficiency!AD63))))</f>
        <v>0</v>
      </c>
      <c r="AE47" s="230">
        <f>IF($B$9&lt;AE$41,0,IF('Main Input-Output'!$B$12="PV",-PV!AE36,IF('Main Input-Output'!$B$12="Wind",-Wind!AE39,IF('Main Input-Output'!$B$12="Cogeneration",-Cogen!AE52,-Efficiency!AE63))))</f>
        <v>0</v>
      </c>
      <c r="AF47" s="230">
        <f>IF($B$9&lt;AF$41,0,IF('Main Input-Output'!$B$12="PV",-PV!AF36,IF('Main Input-Output'!$B$12="Wind",-Wind!AF39,IF('Main Input-Output'!$B$12="Cogeneration",-Cogen!AF52,-Efficiency!AF63))))</f>
        <v>0</v>
      </c>
      <c r="AG47" s="137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</row>
    <row r="48" spans="1:93" s="383" customFormat="1">
      <c r="A48" s="231" t="str">
        <f>languages!A179</f>
        <v xml:space="preserve">Arriendo  </v>
      </c>
      <c r="B48" s="230">
        <f>'Main Input-Output'!B21</f>
        <v>0</v>
      </c>
      <c r="C48" s="230">
        <f>IF($B$9&lt;C$41,0,IF('Main Input-Output'!$B$12="PV",-PV!C37,IF('Main Input-Output'!$B$12="Wind",-Wind!C40,IF('Main Input-Output'!$B$12="Cogeneration",-Cogen!C53,0))))</f>
        <v>0</v>
      </c>
      <c r="D48" s="230">
        <f>IF($B$9&lt;D$41,0,IF('Main Input-Output'!$B$12="PV",-PV!D37,IF('Main Input-Output'!$B$12="Wind",-Wind!D40,IF('Main Input-Output'!$B$12="Cogeneration",-Cogen!D53,0))))</f>
        <v>0</v>
      </c>
      <c r="E48" s="230">
        <f>IF($B$9&lt;E$41,0,IF('Main Input-Output'!$B$12="PV",-PV!E37,IF('Main Input-Output'!$B$12="Wind",-Wind!E40,IF('Main Input-Output'!$B$12="Cogeneration",-Cogen!E53,0))))</f>
        <v>0</v>
      </c>
      <c r="F48" s="230">
        <f>IF($B$9&lt;F$41,0,IF('Main Input-Output'!$B$12="PV",-PV!F37,IF('Main Input-Output'!$B$12="Wind",-Wind!F40,IF('Main Input-Output'!$B$12="Cogeneration",-Cogen!F53,0))))</f>
        <v>0</v>
      </c>
      <c r="G48" s="230">
        <f>IF($B$9&lt;G$41,0,IF('Main Input-Output'!$B$12="PV",-PV!G37,IF('Main Input-Output'!$B$12="Wind",-Wind!G40,IF('Main Input-Output'!$B$12="Cogeneration",-Cogen!G53,0))))</f>
        <v>0</v>
      </c>
      <c r="H48" s="230">
        <f>IF($B$9&lt;H$41,0,IF('Main Input-Output'!$B$12="PV",-PV!H37,IF('Main Input-Output'!$B$12="Wind",-Wind!H40,IF('Main Input-Output'!$B$12="Cogeneration",-Cogen!H53,0))))</f>
        <v>0</v>
      </c>
      <c r="I48" s="230">
        <f>IF($B$9&lt;I$41,0,IF('Main Input-Output'!$B$12="PV",-PV!I37,IF('Main Input-Output'!$B$12="Wind",-Wind!I40,IF('Main Input-Output'!$B$12="Cogeneration",-Cogen!I53,0))))</f>
        <v>0</v>
      </c>
      <c r="J48" s="230">
        <f>IF($B$9&lt;J$41,0,IF('Main Input-Output'!$B$12="PV",-PV!J37,IF('Main Input-Output'!$B$12="Wind",-Wind!J40,IF('Main Input-Output'!$B$12="Cogeneration",-Cogen!J53,0))))</f>
        <v>0</v>
      </c>
      <c r="K48" s="230">
        <f>IF($B$9&lt;K$41,0,IF('Main Input-Output'!$B$12="PV",-PV!K37,IF('Main Input-Output'!$B$12="Wind",-Wind!K40,IF('Main Input-Output'!$B$12="Cogeneration",-Cogen!K53,0))))</f>
        <v>0</v>
      </c>
      <c r="L48" s="230">
        <f>IF($B$9&lt;L$41,0,IF('Main Input-Output'!$B$12="PV",-PV!L37,IF('Main Input-Output'!$B$12="Wind",-Wind!L40,IF('Main Input-Output'!$B$12="Cogeneration",-Cogen!L53,0))))</f>
        <v>0</v>
      </c>
      <c r="M48" s="230">
        <f>IF($B$9&lt;M$41,0,IF('Main Input-Output'!$B$12="PV",-PV!M37,IF('Main Input-Output'!$B$12="Wind",-Wind!M40,IF('Main Input-Output'!$B$12="Cogeneration",-Cogen!M53,0))))</f>
        <v>0</v>
      </c>
      <c r="N48" s="230">
        <f>IF($B$9&lt;N$41,0,IF('Main Input-Output'!$B$12="PV",-PV!N37,IF('Main Input-Output'!$B$12="Wind",-Wind!N40,IF('Main Input-Output'!$B$12="Cogeneration",-Cogen!N53,0))))</f>
        <v>0</v>
      </c>
      <c r="O48" s="230">
        <f>IF($B$9&lt;O$41,0,IF('Main Input-Output'!$B$12="PV",-PV!O37,IF('Main Input-Output'!$B$12="Wind",-Wind!O40,IF('Main Input-Output'!$B$12="Cogeneration",-Cogen!O53,0))))</f>
        <v>0</v>
      </c>
      <c r="P48" s="230">
        <f>IF($B$9&lt;P$41,0,IF('Main Input-Output'!$B$12="PV",-PV!P37,IF('Main Input-Output'!$B$12="Wind",-Wind!P40,IF('Main Input-Output'!$B$12="Cogeneration",-Cogen!P53,0))))</f>
        <v>0</v>
      </c>
      <c r="Q48" s="230">
        <f>IF($B$9&lt;Q$41,0,IF('Main Input-Output'!$B$12="PV",-PV!Q37,IF('Main Input-Output'!$B$12="Wind",-Wind!Q40,IF('Main Input-Output'!$B$12="Cogeneration",-Cogen!Q53,0))))</f>
        <v>0</v>
      </c>
      <c r="R48" s="230">
        <f>IF($B$9&lt;R$41,0,IF('Main Input-Output'!$B$12="PV",-PV!R37,IF('Main Input-Output'!$B$12="Wind",-Wind!R40,IF('Main Input-Output'!$B$12="Cogeneration",-Cogen!R53,0))))</f>
        <v>0</v>
      </c>
      <c r="S48" s="230">
        <f>IF($B$9&lt;S$41,0,IF('Main Input-Output'!$B$12="PV",-PV!S37,IF('Main Input-Output'!$B$12="Wind",-Wind!S40,IF('Main Input-Output'!$B$12="Cogeneration",-Cogen!S53,0))))</f>
        <v>0</v>
      </c>
      <c r="T48" s="230">
        <f>IF($B$9&lt;T$41,0,IF('Main Input-Output'!$B$12="PV",-PV!T37,IF('Main Input-Output'!$B$12="Wind",-Wind!T40,IF('Main Input-Output'!$B$12="Cogeneration",-Cogen!T53,0))))</f>
        <v>0</v>
      </c>
      <c r="U48" s="230">
        <f>IF($B$9&lt;U$41,0,IF('Main Input-Output'!$B$12="PV",-PV!U37,IF('Main Input-Output'!$B$12="Wind",-Wind!U40,IF('Main Input-Output'!$B$12="Cogeneration",-Cogen!U53,0))))</f>
        <v>0</v>
      </c>
      <c r="V48" s="230">
        <f>IF($B$9&lt;V$41,0,IF('Main Input-Output'!$B$12="PV",-PV!V37,IF('Main Input-Output'!$B$12="Wind",-Wind!V40,IF('Main Input-Output'!$B$12="Cogeneration",-Cogen!V53,0))))</f>
        <v>0</v>
      </c>
      <c r="W48" s="230">
        <f>IF($B$9&lt;W$41,0,IF('Main Input-Output'!$B$12="PV",-PV!W37,IF('Main Input-Output'!$B$12="Wind",-Wind!W40,IF('Main Input-Output'!$B$12="Cogeneration",-Cogen!W53,0))))</f>
        <v>0</v>
      </c>
      <c r="X48" s="230">
        <f>IF($B$9&lt;X$41,0,IF('Main Input-Output'!$B$12="PV",-PV!X37,IF('Main Input-Output'!$B$12="Wind",-Wind!X40,IF('Main Input-Output'!$B$12="Cogeneration",-Cogen!X53,0))))</f>
        <v>0</v>
      </c>
      <c r="Y48" s="230">
        <f>IF($B$9&lt;Y$41,0,IF('Main Input-Output'!$B$12="PV",-PV!Y37,IF('Main Input-Output'!$B$12="Wind",-Wind!Y40,IF('Main Input-Output'!$B$12="Cogeneration",-Cogen!Y53,0))))</f>
        <v>0</v>
      </c>
      <c r="Z48" s="230">
        <f>IF($B$9&lt;Z$41,0,IF('Main Input-Output'!$B$12="PV",-PV!Z37,IF('Main Input-Output'!$B$12="Wind",-Wind!Z40,IF('Main Input-Output'!$B$12="Cogeneration",-Cogen!Z53,0))))</f>
        <v>0</v>
      </c>
      <c r="AA48" s="230">
        <f>IF($B$9&lt;AA$41,0,IF('Main Input-Output'!$B$12="PV",-PV!AA37,IF('Main Input-Output'!$B$12="Wind",-Wind!AA40,IF('Main Input-Output'!$B$12="Cogeneration",-Cogen!AA53,0))))</f>
        <v>0</v>
      </c>
      <c r="AB48" s="230">
        <f>IF($B$9&lt;AB$41,0,IF('Main Input-Output'!$B$12="PV",-PV!AB37,IF('Main Input-Output'!$B$12="Wind",-Wind!AB40,IF('Main Input-Output'!$B$12="Cogeneration",-Cogen!AB53,0))))</f>
        <v>0</v>
      </c>
      <c r="AC48" s="230">
        <f>IF($B$9&lt;AC$41,0,IF('Main Input-Output'!$B$12="PV",-PV!AC37,IF('Main Input-Output'!$B$12="Wind",-Wind!AC40,IF('Main Input-Output'!$B$12="Cogeneration",-Cogen!AC53,0))))</f>
        <v>0</v>
      </c>
      <c r="AD48" s="230">
        <f>IF($B$9&lt;AD$41,0,IF('Main Input-Output'!$B$12="PV",-PV!AD37,IF('Main Input-Output'!$B$12="Wind",-Wind!AD40,IF('Main Input-Output'!$B$12="Cogeneration",-Cogen!AD53,0))))</f>
        <v>0</v>
      </c>
      <c r="AE48" s="230">
        <f>IF($B$9&lt;AE$41,0,IF('Main Input-Output'!$B$12="PV",-PV!AE37,IF('Main Input-Output'!$B$12="Wind",-Wind!AE40,IF('Main Input-Output'!$B$12="Cogeneration",-Cogen!AE53,0))))</f>
        <v>0</v>
      </c>
      <c r="AF48" s="230">
        <f>IF($B$9&lt;AF$41,0,IF('Main Input-Output'!$B$12="PV",-PV!AF37,IF('Main Input-Output'!$B$12="Wind",-Wind!AF40,IF('Main Input-Output'!$B$12="Cogeneration",-Cogen!AF53,0))))</f>
        <v>0</v>
      </c>
      <c r="AG48" s="382"/>
    </row>
    <row r="49" spans="1:93">
      <c r="A49" s="231" t="str">
        <f>languages!A180</f>
        <v>Provisiones Desmantelamiento</v>
      </c>
      <c r="B49" s="230"/>
      <c r="C49" s="230">
        <f>IF(C41&lt;$B$9,$B$13,0)</f>
        <v>0</v>
      </c>
      <c r="D49" s="230">
        <f>IF(D41&lt;$B$9,$B$13,0)</f>
        <v>0</v>
      </c>
      <c r="E49" s="230">
        <f t="shared" ref="E49:AF49" si="2">IF(E41&lt;$B$9,$B$13,0)</f>
        <v>0</v>
      </c>
      <c r="F49" s="230">
        <f t="shared" si="2"/>
        <v>0</v>
      </c>
      <c r="G49" s="230">
        <f t="shared" si="2"/>
        <v>0</v>
      </c>
      <c r="H49" s="230">
        <f t="shared" si="2"/>
        <v>0</v>
      </c>
      <c r="I49" s="230">
        <f t="shared" si="2"/>
        <v>0</v>
      </c>
      <c r="J49" s="230">
        <f t="shared" si="2"/>
        <v>0</v>
      </c>
      <c r="K49" s="230">
        <f t="shared" si="2"/>
        <v>0</v>
      </c>
      <c r="L49" s="230">
        <f t="shared" si="2"/>
        <v>0</v>
      </c>
      <c r="M49" s="230">
        <f t="shared" si="2"/>
        <v>0</v>
      </c>
      <c r="N49" s="230">
        <f t="shared" si="2"/>
        <v>0</v>
      </c>
      <c r="O49" s="230">
        <f t="shared" si="2"/>
        <v>0</v>
      </c>
      <c r="P49" s="230">
        <f t="shared" si="2"/>
        <v>0</v>
      </c>
      <c r="Q49" s="230">
        <f t="shared" si="2"/>
        <v>0</v>
      </c>
      <c r="R49" s="230">
        <f t="shared" si="2"/>
        <v>0</v>
      </c>
      <c r="S49" s="230">
        <f t="shared" si="2"/>
        <v>0</v>
      </c>
      <c r="T49" s="230">
        <f t="shared" si="2"/>
        <v>0</v>
      </c>
      <c r="U49" s="230">
        <f t="shared" si="2"/>
        <v>0</v>
      </c>
      <c r="V49" s="230">
        <f t="shared" si="2"/>
        <v>0</v>
      </c>
      <c r="W49" s="230">
        <f t="shared" si="2"/>
        <v>0</v>
      </c>
      <c r="X49" s="230">
        <f t="shared" si="2"/>
        <v>0</v>
      </c>
      <c r="Y49" s="230">
        <f t="shared" si="2"/>
        <v>0</v>
      </c>
      <c r="Z49" s="230">
        <f t="shared" si="2"/>
        <v>0</v>
      </c>
      <c r="AA49" s="230">
        <f t="shared" si="2"/>
        <v>0</v>
      </c>
      <c r="AB49" s="230">
        <f t="shared" si="2"/>
        <v>0</v>
      </c>
      <c r="AC49" s="230">
        <f t="shared" si="2"/>
        <v>0</v>
      </c>
      <c r="AD49" s="230">
        <f t="shared" si="2"/>
        <v>0</v>
      </c>
      <c r="AE49" s="230">
        <f t="shared" si="2"/>
        <v>0</v>
      </c>
      <c r="AF49" s="230">
        <f t="shared" si="2"/>
        <v>0</v>
      </c>
      <c r="AG49" s="54"/>
    </row>
    <row r="50" spans="1:93" s="154" customFormat="1">
      <c r="A50" s="59" t="str">
        <f>languages!A181</f>
        <v>Total Costos Operativos</v>
      </c>
      <c r="B50" s="58"/>
      <c r="C50" s="59">
        <f t="shared" ref="C50:V50" si="3">IF($B$9&lt;C41,0,SUM(C43:C49))</f>
        <v>-1220</v>
      </c>
      <c r="D50" s="59">
        <f t="shared" si="3"/>
        <v>-1256.6000000000001</v>
      </c>
      <c r="E50" s="59">
        <f t="shared" si="3"/>
        <v>-1294.2980000000002</v>
      </c>
      <c r="F50" s="59">
        <f t="shared" si="3"/>
        <v>-1333.1269400000003</v>
      </c>
      <c r="G50" s="59">
        <f t="shared" si="3"/>
        <v>-1373.1207482000004</v>
      </c>
      <c r="H50" s="59">
        <f t="shared" si="3"/>
        <v>-1414.3143706460005</v>
      </c>
      <c r="I50" s="59">
        <f t="shared" si="3"/>
        <v>-1456.7438017653806</v>
      </c>
      <c r="J50" s="59">
        <f t="shared" si="3"/>
        <v>-1500.4461158183419</v>
      </c>
      <c r="K50" s="59">
        <f t="shared" si="3"/>
        <v>-1545.4594992928921</v>
      </c>
      <c r="L50" s="59">
        <f t="shared" si="3"/>
        <v>-1591.8232842716789</v>
      </c>
      <c r="M50" s="59">
        <f t="shared" si="3"/>
        <v>-1639.5779827998292</v>
      </c>
      <c r="N50" s="59">
        <f t="shared" si="3"/>
        <v>-1688.7653222838242</v>
      </c>
      <c r="O50" s="59">
        <f t="shared" si="3"/>
        <v>-1739.4282819523389</v>
      </c>
      <c r="P50" s="59">
        <f t="shared" si="3"/>
        <v>-1791.611130410909</v>
      </c>
      <c r="Q50" s="59">
        <f t="shared" si="3"/>
        <v>-1845.3594643232364</v>
      </c>
      <c r="R50" s="59">
        <f t="shared" si="3"/>
        <v>-1900.7202482529335</v>
      </c>
      <c r="S50" s="59">
        <f t="shared" si="3"/>
        <v>-1957.7418557005217</v>
      </c>
      <c r="T50" s="59">
        <f t="shared" si="3"/>
        <v>-2016.4741113715374</v>
      </c>
      <c r="U50" s="59">
        <f t="shared" si="3"/>
        <v>-2076.9683347126838</v>
      </c>
      <c r="V50" s="59">
        <f t="shared" si="3"/>
        <v>-2139.2773847540643</v>
      </c>
      <c r="W50" s="59">
        <f t="shared" ref="W50:AE50" si="4">IF($B$9&lt;W41,0,SUM(W43:W49))</f>
        <v>-2203.4557062966865</v>
      </c>
      <c r="X50" s="59">
        <f t="shared" si="4"/>
        <v>-2269.559377485587</v>
      </c>
      <c r="Y50" s="59">
        <f t="shared" si="4"/>
        <v>-2337.6461588101547</v>
      </c>
      <c r="Z50" s="59">
        <f t="shared" si="4"/>
        <v>-2407.7755435744593</v>
      </c>
      <c r="AA50" s="59">
        <f t="shared" si="4"/>
        <v>-2480.0088098816932</v>
      </c>
      <c r="AB50" s="59">
        <f t="shared" si="4"/>
        <v>0</v>
      </c>
      <c r="AC50" s="59">
        <f t="shared" si="4"/>
        <v>0</v>
      </c>
      <c r="AD50" s="59">
        <f t="shared" si="4"/>
        <v>0</v>
      </c>
      <c r="AE50" s="59">
        <f t="shared" si="4"/>
        <v>0</v>
      </c>
      <c r="AF50" s="59">
        <f>IF($B$9&lt;AF41,0,SUM(AF43:AF49))</f>
        <v>0</v>
      </c>
      <c r="AG50" s="152"/>
      <c r="AH50" s="152"/>
      <c r="AI50" s="152"/>
      <c r="AJ50" s="153"/>
      <c r="AK50" s="153"/>
      <c r="AL50" s="153"/>
    </row>
    <row r="51" spans="1:93">
      <c r="A51" s="155" t="str">
        <f>languages!A182</f>
        <v>Con Efecto Sobre la Liquidez</v>
      </c>
      <c r="B51" s="155"/>
      <c r="C51" s="156">
        <f>C50-C49</f>
        <v>-1220</v>
      </c>
      <c r="D51" s="156">
        <f t="shared" ref="D51:V51" si="5">D50-D49</f>
        <v>-1256.6000000000001</v>
      </c>
      <c r="E51" s="156">
        <f t="shared" si="5"/>
        <v>-1294.2980000000002</v>
      </c>
      <c r="F51" s="156">
        <f t="shared" si="5"/>
        <v>-1333.1269400000003</v>
      </c>
      <c r="G51" s="156">
        <f t="shared" si="5"/>
        <v>-1373.1207482000004</v>
      </c>
      <c r="H51" s="156">
        <f t="shared" si="5"/>
        <v>-1414.3143706460005</v>
      </c>
      <c r="I51" s="156">
        <f t="shared" si="5"/>
        <v>-1456.7438017653806</v>
      </c>
      <c r="J51" s="156">
        <f t="shared" si="5"/>
        <v>-1500.4461158183419</v>
      </c>
      <c r="K51" s="156">
        <f t="shared" si="5"/>
        <v>-1545.4594992928921</v>
      </c>
      <c r="L51" s="156">
        <f t="shared" si="5"/>
        <v>-1591.8232842716789</v>
      </c>
      <c r="M51" s="156">
        <f t="shared" si="5"/>
        <v>-1639.5779827998292</v>
      </c>
      <c r="N51" s="156">
        <f t="shared" si="5"/>
        <v>-1688.7653222838242</v>
      </c>
      <c r="O51" s="156">
        <f t="shared" si="5"/>
        <v>-1739.4282819523389</v>
      </c>
      <c r="P51" s="156">
        <f t="shared" si="5"/>
        <v>-1791.611130410909</v>
      </c>
      <c r="Q51" s="156">
        <f t="shared" si="5"/>
        <v>-1845.3594643232364</v>
      </c>
      <c r="R51" s="156">
        <f t="shared" si="5"/>
        <v>-1900.7202482529335</v>
      </c>
      <c r="S51" s="156">
        <f t="shared" si="5"/>
        <v>-1957.7418557005217</v>
      </c>
      <c r="T51" s="156">
        <f t="shared" si="5"/>
        <v>-2016.4741113715374</v>
      </c>
      <c r="U51" s="156">
        <f t="shared" si="5"/>
        <v>-2076.9683347126838</v>
      </c>
      <c r="V51" s="156">
        <f t="shared" si="5"/>
        <v>-2139.2773847540643</v>
      </c>
      <c r="W51" s="156">
        <f t="shared" ref="W51:AE51" si="6">W50-W49</f>
        <v>-2203.4557062966865</v>
      </c>
      <c r="X51" s="156">
        <f t="shared" si="6"/>
        <v>-2269.559377485587</v>
      </c>
      <c r="Y51" s="156">
        <f t="shared" si="6"/>
        <v>-2337.6461588101547</v>
      </c>
      <c r="Z51" s="156">
        <f t="shared" si="6"/>
        <v>-2407.7755435744593</v>
      </c>
      <c r="AA51" s="156">
        <f t="shared" si="6"/>
        <v>-2480.0088098816932</v>
      </c>
      <c r="AB51" s="156">
        <f t="shared" si="6"/>
        <v>0</v>
      </c>
      <c r="AC51" s="156">
        <f t="shared" si="6"/>
        <v>0</v>
      </c>
      <c r="AD51" s="156">
        <f t="shared" si="6"/>
        <v>0</v>
      </c>
      <c r="AE51" s="156">
        <f t="shared" si="6"/>
        <v>0</v>
      </c>
      <c r="AF51" s="156">
        <f>AF50-AF49</f>
        <v>0</v>
      </c>
    </row>
    <row r="52" spans="1:93">
      <c r="A52" s="155" t="str">
        <f>languages!A183</f>
        <v>Sin Efecto Sobre la Liquidez</v>
      </c>
      <c r="B52" s="155"/>
      <c r="C52" s="156">
        <f>C49</f>
        <v>0</v>
      </c>
      <c r="D52" s="156">
        <f t="shared" ref="D52:V52" si="7">D49</f>
        <v>0</v>
      </c>
      <c r="E52" s="156">
        <f t="shared" si="7"/>
        <v>0</v>
      </c>
      <c r="F52" s="156">
        <f t="shared" si="7"/>
        <v>0</v>
      </c>
      <c r="G52" s="156">
        <f t="shared" si="7"/>
        <v>0</v>
      </c>
      <c r="H52" s="156">
        <f t="shared" si="7"/>
        <v>0</v>
      </c>
      <c r="I52" s="156">
        <f t="shared" si="7"/>
        <v>0</v>
      </c>
      <c r="J52" s="156">
        <f t="shared" si="7"/>
        <v>0</v>
      </c>
      <c r="K52" s="156">
        <f t="shared" si="7"/>
        <v>0</v>
      </c>
      <c r="L52" s="156">
        <f t="shared" si="7"/>
        <v>0</v>
      </c>
      <c r="M52" s="156">
        <f t="shared" si="7"/>
        <v>0</v>
      </c>
      <c r="N52" s="156">
        <f t="shared" si="7"/>
        <v>0</v>
      </c>
      <c r="O52" s="156">
        <f t="shared" si="7"/>
        <v>0</v>
      </c>
      <c r="P52" s="156">
        <f t="shared" si="7"/>
        <v>0</v>
      </c>
      <c r="Q52" s="156">
        <f t="shared" si="7"/>
        <v>0</v>
      </c>
      <c r="R52" s="156">
        <f t="shared" si="7"/>
        <v>0</v>
      </c>
      <c r="S52" s="156">
        <f t="shared" si="7"/>
        <v>0</v>
      </c>
      <c r="T52" s="156">
        <f t="shared" si="7"/>
        <v>0</v>
      </c>
      <c r="U52" s="156">
        <f t="shared" si="7"/>
        <v>0</v>
      </c>
      <c r="V52" s="156">
        <f t="shared" si="7"/>
        <v>0</v>
      </c>
      <c r="W52" s="156">
        <f t="shared" ref="W52:AE52" si="8">W49</f>
        <v>0</v>
      </c>
      <c r="X52" s="156">
        <f t="shared" si="8"/>
        <v>0</v>
      </c>
      <c r="Y52" s="156">
        <f t="shared" si="8"/>
        <v>0</v>
      </c>
      <c r="Z52" s="156">
        <f t="shared" si="8"/>
        <v>0</v>
      </c>
      <c r="AA52" s="156">
        <f t="shared" si="8"/>
        <v>0</v>
      </c>
      <c r="AB52" s="156">
        <f t="shared" si="8"/>
        <v>0</v>
      </c>
      <c r="AC52" s="156">
        <f t="shared" si="8"/>
        <v>0</v>
      </c>
      <c r="AD52" s="156">
        <f t="shared" si="8"/>
        <v>0</v>
      </c>
      <c r="AE52" s="156">
        <f t="shared" si="8"/>
        <v>0</v>
      </c>
      <c r="AF52" s="156">
        <f>AF49</f>
        <v>0</v>
      </c>
    </row>
    <row r="54" spans="1:93" s="135" customFormat="1">
      <c r="A54" s="133" t="str">
        <f>languages!A185</f>
        <v>Costos Financiamiento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</row>
    <row r="55" spans="1:93" s="151" customFormat="1">
      <c r="A55" s="227" t="str">
        <f>languages!A186</f>
        <v>Intereses</v>
      </c>
      <c r="B55" s="227"/>
      <c r="C55" s="227">
        <f>-Credit!G4</f>
        <v>-2919.8666666666668</v>
      </c>
      <c r="D55" s="227">
        <f>-Credit!H4</f>
        <v>-2928</v>
      </c>
      <c r="E55" s="227">
        <f>-Credit!I4</f>
        <v>-2928</v>
      </c>
      <c r="F55" s="227">
        <f>-Credit!J4</f>
        <v>-2888.6909615634813</v>
      </c>
      <c r="G55" s="227">
        <f>-Credit!K4</f>
        <v>-2780.1378902971933</v>
      </c>
      <c r="H55" s="227">
        <f>-Credit!L4</f>
        <v>-2664.9236171467564</v>
      </c>
      <c r="I55" s="227">
        <f>-Credit!M4</f>
        <v>-2542.6393871131309</v>
      </c>
      <c r="J55" s="227">
        <f>-Credit!N4</f>
        <v>-2412.8513625391975</v>
      </c>
      <c r="K55" s="227">
        <f>-Credit!O4</f>
        <v>-2275.0990839488022</v>
      </c>
      <c r="L55" s="227">
        <f>-Credit!P4</f>
        <v>-2128.8938364374158</v>
      </c>
      <c r="M55" s="227">
        <f>-Credit!Q4</f>
        <v>-1973.7169158187244</v>
      </c>
      <c r="N55" s="227">
        <f>-Credit!R4</f>
        <v>-1809.0177883758165</v>
      </c>
      <c r="O55" s="227">
        <f>-Credit!S4</f>
        <v>-1634.2121376881723</v>
      </c>
      <c r="P55" s="227">
        <f>-Credit!T4</f>
        <v>-1448.6797916050209</v>
      </c>
      <c r="Q55" s="227">
        <f>-Credit!U4</f>
        <v>-1251.7625220104208</v>
      </c>
      <c r="R55" s="227">
        <f>-Credit!V4</f>
        <v>-1042.7617095741157</v>
      </c>
      <c r="S55" s="227">
        <f>-Credit!W4</f>
        <v>-820.93586520320923</v>
      </c>
      <c r="T55" s="227">
        <f>-Credit!X4</f>
        <v>-585.4979994013155</v>
      </c>
      <c r="U55" s="227">
        <f>-Credit!Y4</f>
        <v>-335.61283020224516</v>
      </c>
      <c r="V55" s="227">
        <f>-Credit!Z4</f>
        <v>-83.532558081687682</v>
      </c>
      <c r="W55" s="227">
        <f>-Credit!AA4</f>
        <v>0</v>
      </c>
      <c r="X55" s="227">
        <f>-Credit!AB4</f>
        <v>0</v>
      </c>
      <c r="Y55" s="227">
        <f>-Credit!AC4</f>
        <v>0</v>
      </c>
      <c r="Z55" s="227">
        <f>-Credit!AD4</f>
        <v>0</v>
      </c>
      <c r="AA55" s="227">
        <f>-Credit!AE4</f>
        <v>0</v>
      </c>
      <c r="AB55" s="227">
        <f>-Credit!AF4</f>
        <v>0</v>
      </c>
      <c r="AC55" s="227">
        <f>-Credit!AG4</f>
        <v>0</v>
      </c>
      <c r="AD55" s="227">
        <f>-Credit!AH4</f>
        <v>0</v>
      </c>
      <c r="AE55" s="227">
        <f>-Credit!AI4</f>
        <v>0</v>
      </c>
      <c r="AF55" s="227">
        <f>-Credit!AJ4</f>
        <v>0</v>
      </c>
      <c r="AG55" s="149">
        <f>SUM(C55:AF55)</f>
        <v>-37454.83292367337</v>
      </c>
      <c r="AH55" s="149"/>
      <c r="AI55" s="149"/>
      <c r="AJ55" s="149"/>
      <c r="AK55" s="149"/>
      <c r="AL55" s="149"/>
    </row>
    <row r="56" spans="1:93" s="151" customFormat="1">
      <c r="A56" s="227" t="str">
        <f>languages!A187</f>
        <v>Reembolso</v>
      </c>
      <c r="B56" s="227"/>
      <c r="C56" s="227">
        <f>-Credit!G5</f>
        <v>0</v>
      </c>
      <c r="D56" s="227">
        <f>-Credit!H5</f>
        <v>0</v>
      </c>
      <c r="E56" s="227">
        <f>-Credit!I5</f>
        <v>0</v>
      </c>
      <c r="F56" s="227">
        <f>-Credit!J5</f>
        <v>-1769.0154849361531</v>
      </c>
      <c r="G56" s="227">
        <f>-Credit!K5</f>
        <v>-1877.5685562024414</v>
      </c>
      <c r="H56" s="227">
        <f>-Credit!L5</f>
        <v>-1992.782829352878</v>
      </c>
      <c r="I56" s="227">
        <f>-Credit!M5</f>
        <v>-2115.0670593865038</v>
      </c>
      <c r="J56" s="227">
        <f>-Credit!N5</f>
        <v>-2244.8550839604372</v>
      </c>
      <c r="K56" s="227">
        <f>-Credit!O5</f>
        <v>-2382.6073625508325</v>
      </c>
      <c r="L56" s="227">
        <f>-Credit!P5</f>
        <v>-2528.8126100622189</v>
      </c>
      <c r="M56" s="227">
        <f>-Credit!Q5</f>
        <v>-2683.9895306809103</v>
      </c>
      <c r="N56" s="227">
        <f>-Credit!R5</f>
        <v>-2848.6886581238182</v>
      </c>
      <c r="O56" s="227">
        <f>-Credit!S5</f>
        <v>-3023.4943088114624</v>
      </c>
      <c r="P56" s="227">
        <f>-Credit!T5</f>
        <v>-3209.0266548946133</v>
      </c>
      <c r="Q56" s="227">
        <f>-Credit!U5</f>
        <v>-3405.9439244892137</v>
      </c>
      <c r="R56" s="227">
        <f>-Credit!V5</f>
        <v>-3614.944736925519</v>
      </c>
      <c r="S56" s="227">
        <f>-Credit!W5</f>
        <v>-3836.7705812964255</v>
      </c>
      <c r="T56" s="227">
        <f>-Credit!X5</f>
        <v>-4072.2084470983191</v>
      </c>
      <c r="U56" s="227">
        <f>-Credit!Y5</f>
        <v>-4322.0936162973894</v>
      </c>
      <c r="V56" s="227">
        <f>-Credit!Z5</f>
        <v>-2872.1305549308645</v>
      </c>
      <c r="W56" s="227">
        <f>-Credit!AA5</f>
        <v>0</v>
      </c>
      <c r="X56" s="227">
        <f>-Credit!AB5</f>
        <v>0</v>
      </c>
      <c r="Y56" s="227">
        <f>-Credit!AC5</f>
        <v>0</v>
      </c>
      <c r="Z56" s="227">
        <f>-Credit!AD5</f>
        <v>0</v>
      </c>
      <c r="AA56" s="227">
        <f>-Credit!AE5</f>
        <v>0</v>
      </c>
      <c r="AB56" s="227">
        <f>-Credit!AF5</f>
        <v>0</v>
      </c>
      <c r="AC56" s="227">
        <f>-Credit!AG5</f>
        <v>0</v>
      </c>
      <c r="AD56" s="227">
        <f>-Credit!AH5</f>
        <v>0</v>
      </c>
      <c r="AE56" s="227">
        <f>-Credit!AI5</f>
        <v>0</v>
      </c>
      <c r="AF56" s="227">
        <f>-Credit!AJ5</f>
        <v>0</v>
      </c>
      <c r="AG56" s="149">
        <f>SUM(C56:AF56)</f>
        <v>-48800</v>
      </c>
      <c r="AH56" s="149"/>
      <c r="AI56" s="149"/>
      <c r="AJ56" s="149"/>
      <c r="AK56" s="149"/>
      <c r="AL56" s="149"/>
    </row>
    <row r="57" spans="1:93" s="154" customFormat="1">
      <c r="A57" s="228" t="str">
        <f>languages!A188</f>
        <v>Total Gastos Financieros</v>
      </c>
      <c r="B57" s="227"/>
      <c r="C57" s="228">
        <f>-Credit!G6</f>
        <v>-2919.8666666666668</v>
      </c>
      <c r="D57" s="228">
        <f>-Credit!H6</f>
        <v>-2928</v>
      </c>
      <c r="E57" s="228">
        <f>-Credit!I6</f>
        <v>-2928</v>
      </c>
      <c r="F57" s="228">
        <f>-Credit!J6</f>
        <v>-4657.7064464996347</v>
      </c>
      <c r="G57" s="228">
        <f>-Credit!K6</f>
        <v>-4657.7064464996347</v>
      </c>
      <c r="H57" s="228">
        <f>-Credit!L6</f>
        <v>-4657.7064464996347</v>
      </c>
      <c r="I57" s="228">
        <f>-Credit!M6</f>
        <v>-4657.7064464996347</v>
      </c>
      <c r="J57" s="228">
        <f>-Credit!N6</f>
        <v>-4657.7064464996347</v>
      </c>
      <c r="K57" s="228">
        <f>-Credit!O6</f>
        <v>-4657.7064464996347</v>
      </c>
      <c r="L57" s="228">
        <f>-Credit!P6</f>
        <v>-4657.7064464996347</v>
      </c>
      <c r="M57" s="228">
        <f>-Credit!Q6</f>
        <v>-4657.7064464996347</v>
      </c>
      <c r="N57" s="228">
        <f>-Credit!R6</f>
        <v>-4657.7064464996347</v>
      </c>
      <c r="O57" s="228">
        <f>-Credit!S6</f>
        <v>-4657.7064464996347</v>
      </c>
      <c r="P57" s="228">
        <f>-Credit!T6</f>
        <v>-4657.7064464996347</v>
      </c>
      <c r="Q57" s="228">
        <f>-Credit!U6</f>
        <v>-4657.7064464996347</v>
      </c>
      <c r="R57" s="228">
        <f>-Credit!V6</f>
        <v>-4657.7064464996347</v>
      </c>
      <c r="S57" s="228">
        <f>-Credit!W6</f>
        <v>-4657.7064464996347</v>
      </c>
      <c r="T57" s="228">
        <f>-Credit!X6</f>
        <v>-4657.7064464996347</v>
      </c>
      <c r="U57" s="228">
        <f>-Credit!Y6</f>
        <v>-4657.7064464996347</v>
      </c>
      <c r="V57" s="228">
        <f>-Credit!Z6</f>
        <v>-2955.663113012552</v>
      </c>
      <c r="W57" s="228">
        <f>-Credit!AA6</f>
        <v>0</v>
      </c>
      <c r="X57" s="228">
        <f>-Credit!AB6</f>
        <v>0</v>
      </c>
      <c r="Y57" s="228">
        <f>-Credit!AC6</f>
        <v>0</v>
      </c>
      <c r="Z57" s="228">
        <f>-Credit!AD6</f>
        <v>0</v>
      </c>
      <c r="AA57" s="228">
        <f>-Credit!AE6</f>
        <v>0</v>
      </c>
      <c r="AB57" s="228">
        <f>-Credit!AF6</f>
        <v>0</v>
      </c>
      <c r="AC57" s="228">
        <f>-Credit!AG6</f>
        <v>0</v>
      </c>
      <c r="AD57" s="228">
        <f>-Credit!AH6</f>
        <v>0</v>
      </c>
      <c r="AE57" s="228">
        <f>-Credit!AI6</f>
        <v>0</v>
      </c>
      <c r="AF57" s="228">
        <f>-Credit!AJ6</f>
        <v>0</v>
      </c>
      <c r="AG57" s="152"/>
      <c r="AH57" s="152"/>
      <c r="AI57" s="152"/>
      <c r="AJ57" s="153"/>
      <c r="AK57" s="153"/>
      <c r="AL57" s="153"/>
    </row>
    <row r="58" spans="1:93" s="151" customFormat="1">
      <c r="A58" s="131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149"/>
      <c r="AH58" s="149"/>
      <c r="AI58" s="149"/>
      <c r="AJ58" s="149"/>
      <c r="AK58" s="149"/>
      <c r="AL58" s="149"/>
    </row>
    <row r="59" spans="1:93" s="135" customFormat="1">
      <c r="A59" s="133" t="str">
        <f>languages!A189</f>
        <v>Ingresos</v>
      </c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</row>
    <row r="60" spans="1:93" s="151" customFormat="1">
      <c r="A60" s="233" t="str">
        <f>languages!A190</f>
        <v>Ingresos por Venta/Ahorro Electricidad</v>
      </c>
      <c r="B60" s="234"/>
      <c r="C60" s="234">
        <f>IF($B$9&lt;C$41,0,IF('Main Input-Output'!$B$12="PV",PV!C$31,IF('Main Input-Output'!$B$12="Wind",Wind!C$34,IF('Main Input-Output'!$B$12="Cogeneration",Cogen!C46,Efficiency!C55))))</f>
        <v>4905.6000000000004</v>
      </c>
      <c r="D60" s="234">
        <f>IF($B9&lt;D41,0,IF('Main Input-Output'!$B$12="PV",PV!D$31,IF('Main Input-Output'!$B12="Wind",Wind!D$34,IF('Main Input-Output'!$B$12="Cogeneration",Cogen!D46,Efficiency!D55))))</f>
        <v>5042.662464</v>
      </c>
      <c r="E60" s="234">
        <f>IF($B9&lt;E41,0,IF('Main Input-Output'!$B$12="PV",PV!E$31,IF('Main Input-Output'!$B12="Wind",Wind!E$34,IF('Main Input-Output'!$B$12="Cogeneration",Cogen!E46,Efficiency!E55))))</f>
        <v>5183.5544532441609</v>
      </c>
      <c r="F60" s="234">
        <f>IF($B9&lt;F41,0,IF('Main Input-Output'!$B$12="PV",PV!F$31,IF('Main Input-Output'!$B12="Wind",Wind!F$34,IF('Main Input-Output'!$B$12="Cogeneration",Cogen!F46,Efficiency!F55))))</f>
        <v>5328.3829646678023</v>
      </c>
      <c r="G60" s="234">
        <f>IF($B9&lt;G41,0,IF('Main Input-Output'!$B$12="PV",PV!G$31,IF('Main Input-Output'!$B12="Wind",Wind!G$34,IF('Main Input-Output'!$B$12="Cogeneration",Cogen!G46,Efficiency!G55))))</f>
        <v>5477.25798470062</v>
      </c>
      <c r="H60" s="234">
        <f>IF($B9&lt;H41,0,IF('Main Input-Output'!$B$12="PV",PV!H$31,IF('Main Input-Output'!$B12="Wind",Wind!H$34,IF('Main Input-Output'!$B$12="Cogeneration",Cogen!H46,Efficiency!H55))))</f>
        <v>5630.2925727931552</v>
      </c>
      <c r="I60" s="234">
        <f>IF($B9&lt;I41,0,IF('Main Input-Output'!$B$12="PV",PV!I$31,IF('Main Input-Output'!$B12="Wind",Wind!I$34,IF('Main Input-Output'!$B$12="Cogeneration",Cogen!I46,Efficiency!I55))))</f>
        <v>5787.602947276996</v>
      </c>
      <c r="J60" s="234">
        <f>IF($B9&lt;J41,0,IF('Main Input-Output'!$B$12="PV",PV!J$31,IF('Main Input-Output'!$B12="Wind",Wind!J$34,IF('Main Input-Output'!$B$12="Cogeneration",Cogen!J46,Efficiency!J55))))</f>
        <v>5949.3085736239163</v>
      </c>
      <c r="K60" s="234">
        <f>IF($B9&lt;K41,0,IF('Main Input-Output'!$B$12="PV",PV!K$31,IF('Main Input-Output'!$B12="Wind",Wind!K$34,IF('Main Input-Output'!$B$12="Cogeneration",Cogen!K46,Efficiency!K55))))</f>
        <v>6115.5322551709678</v>
      </c>
      <c r="L60" s="234">
        <f>IF($B9&lt;L41,0,IF('Main Input-Output'!$B$12="PV",PV!L$31,IF('Main Input-Output'!$B12="Wind",Wind!L$34,IF('Main Input-Output'!$B$12="Cogeneration",Cogen!L46,Efficiency!L55))))</f>
        <v>6286.4002263804441</v>
      </c>
      <c r="M60" s="234">
        <f>IF($B9&lt;M41,0,IF('Main Input-Output'!$B$12="PV",PV!M$31,IF('Main Input-Output'!$B12="Wind",Wind!M$34,IF('Main Input-Output'!$B$12="Cogeneration",Cogen!M46,Efficiency!M55))))</f>
        <v>6462.0422487055139</v>
      </c>
      <c r="N60" s="234">
        <f>IF($B9&lt;N41,0,IF('Main Input-Output'!$B$12="PV",PV!N$31,IF('Main Input-Output'!$B12="Wind",Wind!N$34,IF('Main Input-Output'!$B$12="Cogeneration",Cogen!N46,Efficiency!N55))))</f>
        <v>6642.5917091343454</v>
      </c>
      <c r="O60" s="234">
        <f>IF($B9&lt;O41,0,IF('Main Input-Output'!$B$12="PV",PV!O$31,IF('Main Input-Output'!$B12="Wind",Wind!O$34,IF('Main Input-Output'!$B$12="Cogeneration",Cogen!O46,Efficiency!O55))))</f>
        <v>6828.1857214875581</v>
      </c>
      <c r="P60" s="234">
        <f>IF($B9&lt;P41,0,IF('Main Input-Output'!$B$12="PV",PV!P$31,IF('Main Input-Output'!$B12="Wind",Wind!P$34,IF('Main Input-Output'!$B$12="Cogeneration",Cogen!P46,Efficiency!P55))))</f>
        <v>7018.9652305459203</v>
      </c>
      <c r="Q60" s="234">
        <f>IF($B9&lt;Q41,0,IF('Main Input-Output'!$B$12="PV",PV!Q$31,IF('Main Input-Output'!$B12="Wind",Wind!Q$34,IF('Main Input-Output'!$B$12="Cogeneration",Cogen!Q46,Efficiency!Q55))))</f>
        <v>7215.0751190873743</v>
      </c>
      <c r="R60" s="234">
        <f>IF($B9&lt;R41,0,IF('Main Input-Output'!$B$12="PV",PV!R$31,IF('Main Input-Output'!$B12="Wind",Wind!R$34,IF('Main Input-Output'!$B$12="Cogeneration",Cogen!R46,Efficiency!R55))))</f>
        <v>7416.6643179146758</v>
      </c>
      <c r="S60" s="234">
        <f>IF($B9&lt;S41,0,IF('Main Input-Output'!$B$12="PV",PV!S$31,IF('Main Input-Output'!$B12="Wind",Wind!S$34,IF('Main Input-Output'!$B$12="Cogeneration",Cogen!S46,Efficiency!S55))))</f>
        <v>7623.8859189572104</v>
      </c>
      <c r="T60" s="234">
        <f>IF($B9&lt;T41,0,IF('Main Input-Output'!$B$12="PV",PV!T$31,IF('Main Input-Output'!$B12="Wind",Wind!T$34,IF('Main Input-Output'!$B$12="Cogeneration",Cogen!T46,Efficiency!T55))))</f>
        <v>7836.8972915328741</v>
      </c>
      <c r="U60" s="234">
        <f>IF($B9&lt;U41,0,IF('Main Input-Output'!$B$12="PV",PV!U$31,IF('Main Input-Output'!$B12="Wind",Wind!U$34,IF('Main Input-Output'!$B$12="Cogeneration",Cogen!U46,Efficiency!U55))))</f>
        <v>8055.8602018583033</v>
      </c>
      <c r="V60" s="234">
        <f>IF($B9&lt;V41,0,IF('Main Input-Output'!$B$12="PV",PV!V$31,IF('Main Input-Output'!$B12="Wind",Wind!V$34,IF('Main Input-Output'!$B$12="Cogeneration",Cogen!V46,Efficiency!V55))))</f>
        <v>8280.9409358982248</v>
      </c>
      <c r="W60" s="234">
        <f>IF($B9&lt;W41,0,IF('Main Input-Output'!$B$12="PV",PV!W$31,IF('Main Input-Output'!$B12="Wind",Wind!W$34,IF('Main Input-Output'!$B$12="Cogeneration",Cogen!W46,Efficiency!W55))))</f>
        <v>8512.3104256472216</v>
      </c>
      <c r="X60" s="234">
        <f>IF($B9&lt;X41,0,IF('Main Input-Output'!$B$12="PV",PV!X$31,IF('Main Input-Output'!$B12="Wind",Wind!X$34,IF('Main Input-Output'!$B$12="Cogeneration",Cogen!X46,Efficiency!X55))))</f>
        <v>8750.1443789398036</v>
      </c>
      <c r="Y60" s="234">
        <f>IF($B9&lt;Y41,0,IF('Main Input-Output'!$B$12="PV",PV!Y$31,IF('Main Input-Output'!$B12="Wind",Wind!Y$34,IF('Main Input-Output'!$B$12="Cogeneration",Cogen!Y46,Efficiency!Y55))))</f>
        <v>8994.6234128873821</v>
      </c>
      <c r="Z60" s="234">
        <f>IF($B9&lt;Z41,0,IF('Main Input-Output'!$B$12="PV",PV!Z$31,IF('Main Input-Output'!$B12="Wind",Wind!Z$34,IF('Main Input-Output'!$B$12="Cogeneration",Cogen!Z46,Efficiency!Z55))))</f>
        <v>9245.9331910434576</v>
      </c>
      <c r="AA60" s="234">
        <f>IF($B9&lt;AA41,0,IF('Main Input-Output'!$B$12="PV",PV!AA$31,IF('Main Input-Output'!$B12="Wind",Wind!AA$34,IF('Main Input-Output'!$B$12="Cogeneration",Cogen!AA46,Efficiency!AA55))))</f>
        <v>9504.26456440121</v>
      </c>
      <c r="AB60" s="234">
        <f>IF($B9&lt;AB41,0,IF('Main Input-Output'!$B$12="PV",PV!AB$31,IF('Main Input-Output'!$B12="Wind",Wind!AB$34,IF('Main Input-Output'!$B$12="Cogeneration",Cogen!AB46,Efficiency!AB55))))</f>
        <v>0</v>
      </c>
      <c r="AC60" s="234">
        <f>IF($B9&lt;AC41,0,IF('Main Input-Output'!$B$12="PV",PV!AC$31,IF('Main Input-Output'!$B12="Wind",Wind!AC$34,IF('Main Input-Output'!$B$12="Cogeneration",Cogen!AC46,Efficiency!AC55))))</f>
        <v>0</v>
      </c>
      <c r="AD60" s="234">
        <f>IF($B9&lt;AD41,0,IF('Main Input-Output'!$B$12="PV",PV!AD$31,IF('Main Input-Output'!$B12="Wind",Wind!AD$34,IF('Main Input-Output'!$B$12="Cogeneration",Cogen!AD46,Efficiency!AD55))))</f>
        <v>0</v>
      </c>
      <c r="AE60" s="234">
        <f>IF($B9&lt;AE41,0,IF('Main Input-Output'!$B$12="PV",PV!AE$31,IF('Main Input-Output'!$B12="Wind",Wind!AE$34,IF('Main Input-Output'!$B$12="Cogeneration",Cogen!AE46,Efficiency!AE55))))</f>
        <v>0</v>
      </c>
      <c r="AF60" s="234">
        <f>IF($B9&lt;AF41,0,IF('Main Input-Output'!$B$12="PV",PV!AF$31,IF('Main Input-Output'!$B12="Wind",Wind!AF$34,IF('Main Input-Output'!$B$12="Cogeneration",Cogen!AF46,Efficiency!AF55))))</f>
        <v>0</v>
      </c>
      <c r="AG60" s="149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</row>
    <row r="61" spans="1:93" s="151" customFormat="1">
      <c r="A61" s="233" t="str">
        <f>languages!A191</f>
        <v>Ahorro en Combustibles/Electricidad (ver hoja)</v>
      </c>
      <c r="B61" s="234">
        <v>0</v>
      </c>
      <c r="C61" s="234">
        <f t="shared" ref="C61:V61" si="9">IF($B$9&lt;C41,0,B61*(1+$B$8))</f>
        <v>0</v>
      </c>
      <c r="D61" s="234">
        <f t="shared" si="9"/>
        <v>0</v>
      </c>
      <c r="E61" s="234">
        <f t="shared" si="9"/>
        <v>0</v>
      </c>
      <c r="F61" s="234">
        <f t="shared" si="9"/>
        <v>0</v>
      </c>
      <c r="G61" s="234">
        <f t="shared" si="9"/>
        <v>0</v>
      </c>
      <c r="H61" s="234">
        <f t="shared" si="9"/>
        <v>0</v>
      </c>
      <c r="I61" s="234">
        <f t="shared" si="9"/>
        <v>0</v>
      </c>
      <c r="J61" s="234">
        <f t="shared" si="9"/>
        <v>0</v>
      </c>
      <c r="K61" s="234">
        <f t="shared" si="9"/>
        <v>0</v>
      </c>
      <c r="L61" s="234">
        <f t="shared" si="9"/>
        <v>0</v>
      </c>
      <c r="M61" s="234">
        <f t="shared" si="9"/>
        <v>0</v>
      </c>
      <c r="N61" s="234">
        <f t="shared" si="9"/>
        <v>0</v>
      </c>
      <c r="O61" s="234">
        <f t="shared" si="9"/>
        <v>0</v>
      </c>
      <c r="P61" s="234">
        <f t="shared" si="9"/>
        <v>0</v>
      </c>
      <c r="Q61" s="234">
        <f t="shared" si="9"/>
        <v>0</v>
      </c>
      <c r="R61" s="234">
        <f t="shared" si="9"/>
        <v>0</v>
      </c>
      <c r="S61" s="234">
        <f t="shared" si="9"/>
        <v>0</v>
      </c>
      <c r="T61" s="234">
        <f t="shared" si="9"/>
        <v>0</v>
      </c>
      <c r="U61" s="234">
        <f t="shared" si="9"/>
        <v>0</v>
      </c>
      <c r="V61" s="234">
        <f t="shared" si="9"/>
        <v>0</v>
      </c>
      <c r="W61" s="234">
        <f t="shared" ref="W61:AF61" si="10">IF($B$9&lt;W41,0,V61*(1+$B$8))</f>
        <v>0</v>
      </c>
      <c r="X61" s="234">
        <f t="shared" si="10"/>
        <v>0</v>
      </c>
      <c r="Y61" s="234">
        <f t="shared" si="10"/>
        <v>0</v>
      </c>
      <c r="Z61" s="234">
        <f t="shared" si="10"/>
        <v>0</v>
      </c>
      <c r="AA61" s="234">
        <f t="shared" si="10"/>
        <v>0</v>
      </c>
      <c r="AB61" s="234">
        <f t="shared" si="10"/>
        <v>0</v>
      </c>
      <c r="AC61" s="234">
        <f t="shared" si="10"/>
        <v>0</v>
      </c>
      <c r="AD61" s="234">
        <f t="shared" si="10"/>
        <v>0</v>
      </c>
      <c r="AE61" s="234">
        <f t="shared" si="10"/>
        <v>0</v>
      </c>
      <c r="AF61" s="234">
        <f t="shared" si="10"/>
        <v>0</v>
      </c>
      <c r="AG61" s="149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</row>
    <row r="62" spans="1:93" s="151" customFormat="1">
      <c r="A62" s="233" t="str">
        <f>languages!A192</f>
        <v>Otros Ingresos (Costos Conexión, etc)</v>
      </c>
      <c r="B62" s="234"/>
      <c r="C62" s="235">
        <f>'Main Input-Output'!B14</f>
        <v>0</v>
      </c>
      <c r="D62" s="235">
        <f t="shared" ref="D62:V62" si="11">IF($B$9&lt;D41,0,C62*(1+$B$7))</f>
        <v>0</v>
      </c>
      <c r="E62" s="235">
        <f t="shared" si="11"/>
        <v>0</v>
      </c>
      <c r="F62" s="235">
        <f t="shared" si="11"/>
        <v>0</v>
      </c>
      <c r="G62" s="235">
        <f t="shared" si="11"/>
        <v>0</v>
      </c>
      <c r="H62" s="235">
        <f t="shared" si="11"/>
        <v>0</v>
      </c>
      <c r="I62" s="235">
        <f t="shared" si="11"/>
        <v>0</v>
      </c>
      <c r="J62" s="235">
        <f t="shared" si="11"/>
        <v>0</v>
      </c>
      <c r="K62" s="235">
        <f t="shared" si="11"/>
        <v>0</v>
      </c>
      <c r="L62" s="235">
        <f t="shared" si="11"/>
        <v>0</v>
      </c>
      <c r="M62" s="235">
        <f t="shared" si="11"/>
        <v>0</v>
      </c>
      <c r="N62" s="235">
        <f t="shared" si="11"/>
        <v>0</v>
      </c>
      <c r="O62" s="235">
        <f t="shared" si="11"/>
        <v>0</v>
      </c>
      <c r="P62" s="235">
        <f t="shared" si="11"/>
        <v>0</v>
      </c>
      <c r="Q62" s="235">
        <f t="shared" si="11"/>
        <v>0</v>
      </c>
      <c r="R62" s="235">
        <f t="shared" si="11"/>
        <v>0</v>
      </c>
      <c r="S62" s="235">
        <f t="shared" si="11"/>
        <v>0</v>
      </c>
      <c r="T62" s="235">
        <f t="shared" si="11"/>
        <v>0</v>
      </c>
      <c r="U62" s="235">
        <f t="shared" si="11"/>
        <v>0</v>
      </c>
      <c r="V62" s="235">
        <f t="shared" si="11"/>
        <v>0</v>
      </c>
      <c r="W62" s="235">
        <f t="shared" ref="W62:AF62" si="12">IF($B$9&lt;W41,0,V62*(1+$B$7))</f>
        <v>0</v>
      </c>
      <c r="X62" s="235">
        <f t="shared" si="12"/>
        <v>0</v>
      </c>
      <c r="Y62" s="235">
        <f t="shared" si="12"/>
        <v>0</v>
      </c>
      <c r="Z62" s="235">
        <f t="shared" si="12"/>
        <v>0</v>
      </c>
      <c r="AA62" s="235">
        <f t="shared" si="12"/>
        <v>0</v>
      </c>
      <c r="AB62" s="235">
        <f t="shared" si="12"/>
        <v>0</v>
      </c>
      <c r="AC62" s="235">
        <f t="shared" si="12"/>
        <v>0</v>
      </c>
      <c r="AD62" s="235">
        <f t="shared" si="12"/>
        <v>0</v>
      </c>
      <c r="AE62" s="235">
        <f t="shared" si="12"/>
        <v>0</v>
      </c>
      <c r="AF62" s="235">
        <f t="shared" si="12"/>
        <v>0</v>
      </c>
      <c r="AG62" s="149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</row>
    <row r="63" spans="1:93" s="151" customFormat="1">
      <c r="A63" s="236" t="str">
        <f>languages!A193</f>
        <v>Subvenciones</v>
      </c>
      <c r="B63" s="237">
        <f>B20</f>
        <v>0</v>
      </c>
      <c r="C63" s="238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149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</row>
    <row r="64" spans="1:93">
      <c r="A64" s="236" t="str">
        <f>languages!A194</f>
        <v>Valor Residual (Después de Vida Útil)</v>
      </c>
      <c r="B64" s="234"/>
      <c r="C64" s="234">
        <f>IF($B$9=C41,$B$22,0)</f>
        <v>0</v>
      </c>
      <c r="D64" s="234">
        <f t="shared" ref="D64:V64" si="13">IF($B$9=D41,$B$22,0)</f>
        <v>0</v>
      </c>
      <c r="E64" s="234">
        <f t="shared" si="13"/>
        <v>0</v>
      </c>
      <c r="F64" s="234">
        <f t="shared" si="13"/>
        <v>0</v>
      </c>
      <c r="G64" s="234">
        <f t="shared" si="13"/>
        <v>0</v>
      </c>
      <c r="H64" s="234">
        <f t="shared" si="13"/>
        <v>0</v>
      </c>
      <c r="I64" s="234">
        <f t="shared" si="13"/>
        <v>0</v>
      </c>
      <c r="J64" s="234">
        <f t="shared" si="13"/>
        <v>0</v>
      </c>
      <c r="K64" s="234">
        <f t="shared" si="13"/>
        <v>0</v>
      </c>
      <c r="L64" s="234">
        <f t="shared" si="13"/>
        <v>0</v>
      </c>
      <c r="M64" s="234">
        <f t="shared" si="13"/>
        <v>0</v>
      </c>
      <c r="N64" s="234">
        <f t="shared" si="13"/>
        <v>0</v>
      </c>
      <c r="O64" s="234">
        <f t="shared" si="13"/>
        <v>0</v>
      </c>
      <c r="P64" s="234">
        <f t="shared" si="13"/>
        <v>0</v>
      </c>
      <c r="Q64" s="234">
        <f t="shared" si="13"/>
        <v>0</v>
      </c>
      <c r="R64" s="234">
        <f t="shared" si="13"/>
        <v>0</v>
      </c>
      <c r="S64" s="234">
        <f t="shared" si="13"/>
        <v>0</v>
      </c>
      <c r="T64" s="234">
        <f t="shared" si="13"/>
        <v>0</v>
      </c>
      <c r="U64" s="234">
        <f t="shared" si="13"/>
        <v>0</v>
      </c>
      <c r="V64" s="234">
        <f t="shared" si="13"/>
        <v>0</v>
      </c>
      <c r="W64" s="234">
        <f t="shared" ref="W64:AE64" si="14">IF($B$9=W41,$B$22,0)</f>
        <v>0</v>
      </c>
      <c r="X64" s="234">
        <f t="shared" si="14"/>
        <v>0</v>
      </c>
      <c r="Y64" s="234">
        <f t="shared" si="14"/>
        <v>0</v>
      </c>
      <c r="Z64" s="234">
        <f t="shared" si="14"/>
        <v>0</v>
      </c>
      <c r="AA64" s="234">
        <f t="shared" si="14"/>
        <v>0</v>
      </c>
      <c r="AB64" s="234">
        <f t="shared" si="14"/>
        <v>0</v>
      </c>
      <c r="AC64" s="234">
        <f t="shared" si="14"/>
        <v>0</v>
      </c>
      <c r="AD64" s="234">
        <f t="shared" si="14"/>
        <v>0</v>
      </c>
      <c r="AE64" s="234">
        <f t="shared" si="14"/>
        <v>0</v>
      </c>
      <c r="AF64" s="234">
        <f>IF($B$9=AF41,$B$22,0)</f>
        <v>0</v>
      </c>
      <c r="AG64" s="137"/>
    </row>
    <row r="65" spans="1:107" s="154" customFormat="1">
      <c r="A65" s="59" t="str">
        <f>languages!A195</f>
        <v>Total Ingresos</v>
      </c>
      <c r="B65" s="58"/>
      <c r="C65" s="59">
        <f t="shared" ref="C65:V65" si="15">IF($B$9&lt;C41,0,SUM(C60:C64))</f>
        <v>4905.6000000000004</v>
      </c>
      <c r="D65" s="59">
        <f t="shared" si="15"/>
        <v>5042.662464</v>
      </c>
      <c r="E65" s="59">
        <f t="shared" si="15"/>
        <v>5183.5544532441609</v>
      </c>
      <c r="F65" s="59">
        <f t="shared" si="15"/>
        <v>5328.3829646678023</v>
      </c>
      <c r="G65" s="59">
        <f t="shared" si="15"/>
        <v>5477.25798470062</v>
      </c>
      <c r="H65" s="59">
        <f t="shared" si="15"/>
        <v>5630.2925727931552</v>
      </c>
      <c r="I65" s="59">
        <f t="shared" si="15"/>
        <v>5787.602947276996</v>
      </c>
      <c r="J65" s="59">
        <f t="shared" si="15"/>
        <v>5949.3085736239163</v>
      </c>
      <c r="K65" s="59">
        <f t="shared" si="15"/>
        <v>6115.5322551709678</v>
      </c>
      <c r="L65" s="59">
        <f t="shared" si="15"/>
        <v>6286.4002263804441</v>
      </c>
      <c r="M65" s="59">
        <f t="shared" si="15"/>
        <v>6462.0422487055139</v>
      </c>
      <c r="N65" s="59">
        <f t="shared" si="15"/>
        <v>6642.5917091343454</v>
      </c>
      <c r="O65" s="59">
        <f t="shared" si="15"/>
        <v>6828.1857214875581</v>
      </c>
      <c r="P65" s="59">
        <f t="shared" si="15"/>
        <v>7018.9652305459203</v>
      </c>
      <c r="Q65" s="59">
        <f t="shared" si="15"/>
        <v>7215.0751190873743</v>
      </c>
      <c r="R65" s="59">
        <f t="shared" si="15"/>
        <v>7416.6643179146758</v>
      </c>
      <c r="S65" s="59">
        <f t="shared" si="15"/>
        <v>7623.8859189572104</v>
      </c>
      <c r="T65" s="59">
        <f t="shared" si="15"/>
        <v>7836.8972915328741</v>
      </c>
      <c r="U65" s="59">
        <f t="shared" si="15"/>
        <v>8055.8602018583033</v>
      </c>
      <c r="V65" s="59">
        <f t="shared" si="15"/>
        <v>8280.9409358982248</v>
      </c>
      <c r="W65" s="59">
        <f t="shared" ref="W65:AE65" si="16">IF($B$9&lt;W41,0,SUM(W60:W64))</f>
        <v>8512.3104256472216</v>
      </c>
      <c r="X65" s="59">
        <f t="shared" si="16"/>
        <v>8750.1443789398036</v>
      </c>
      <c r="Y65" s="59">
        <f t="shared" si="16"/>
        <v>8994.6234128873821</v>
      </c>
      <c r="Z65" s="59">
        <f t="shared" si="16"/>
        <v>9245.9331910434576</v>
      </c>
      <c r="AA65" s="59">
        <f t="shared" si="16"/>
        <v>9504.26456440121</v>
      </c>
      <c r="AB65" s="59">
        <f t="shared" si="16"/>
        <v>0</v>
      </c>
      <c r="AC65" s="59">
        <f t="shared" si="16"/>
        <v>0</v>
      </c>
      <c r="AD65" s="59">
        <f t="shared" si="16"/>
        <v>0</v>
      </c>
      <c r="AE65" s="59">
        <f t="shared" si="16"/>
        <v>0</v>
      </c>
      <c r="AF65" s="59">
        <f>IF($B$9&lt;AF41,0,SUM(AF60:AF64))</f>
        <v>0</v>
      </c>
      <c r="AG65" s="152"/>
      <c r="AH65" s="152"/>
      <c r="AI65" s="152"/>
      <c r="AJ65" s="153"/>
      <c r="AK65" s="153"/>
      <c r="AL65" s="153"/>
    </row>
    <row r="66" spans="1:107" s="151" customFormat="1">
      <c r="A66" s="158" t="str">
        <f>languages!A196</f>
        <v>Depreciación</v>
      </c>
      <c r="B66" s="53"/>
      <c r="C66" s="53">
        <f>IF($B$9&lt;C41,0,($B$21-$B18-$B19)/$B$9)+B18</f>
        <v>-2440</v>
      </c>
      <c r="D66" s="53">
        <f t="shared" ref="D66:V66" si="17">IF($B$9&lt;D41,0,($B$21-$B18-$B19)/$B$9)</f>
        <v>-2440</v>
      </c>
      <c r="E66" s="53">
        <f t="shared" si="17"/>
        <v>-2440</v>
      </c>
      <c r="F66" s="53">
        <f t="shared" si="17"/>
        <v>-2440</v>
      </c>
      <c r="G66" s="53">
        <f t="shared" si="17"/>
        <v>-2440</v>
      </c>
      <c r="H66" s="53">
        <f t="shared" si="17"/>
        <v>-2440</v>
      </c>
      <c r="I66" s="53">
        <f t="shared" si="17"/>
        <v>-2440</v>
      </c>
      <c r="J66" s="53">
        <f t="shared" si="17"/>
        <v>-2440</v>
      </c>
      <c r="K66" s="53">
        <f t="shared" si="17"/>
        <v>-2440</v>
      </c>
      <c r="L66" s="53">
        <f t="shared" si="17"/>
        <v>-2440</v>
      </c>
      <c r="M66" s="53">
        <f t="shared" si="17"/>
        <v>-2440</v>
      </c>
      <c r="N66" s="53">
        <f t="shared" si="17"/>
        <v>-2440</v>
      </c>
      <c r="O66" s="53">
        <f t="shared" si="17"/>
        <v>-2440</v>
      </c>
      <c r="P66" s="53">
        <f t="shared" si="17"/>
        <v>-2440</v>
      </c>
      <c r="Q66" s="53">
        <f t="shared" si="17"/>
        <v>-2440</v>
      </c>
      <c r="R66" s="53">
        <f t="shared" si="17"/>
        <v>-2440</v>
      </c>
      <c r="S66" s="53">
        <f t="shared" si="17"/>
        <v>-2440</v>
      </c>
      <c r="T66" s="53">
        <f t="shared" si="17"/>
        <v>-2440</v>
      </c>
      <c r="U66" s="53">
        <f t="shared" si="17"/>
        <v>-2440</v>
      </c>
      <c r="V66" s="53">
        <f t="shared" si="17"/>
        <v>-2440</v>
      </c>
      <c r="W66" s="53">
        <f t="shared" ref="W66:AE66" si="18">IF($B$9&lt;W41,0,($B$21-$B18-$B19)/$B$9)</f>
        <v>-2440</v>
      </c>
      <c r="X66" s="53">
        <f t="shared" si="18"/>
        <v>-2440</v>
      </c>
      <c r="Y66" s="53">
        <f t="shared" si="18"/>
        <v>-2440</v>
      </c>
      <c r="Z66" s="53">
        <f t="shared" si="18"/>
        <v>-2440</v>
      </c>
      <c r="AA66" s="53">
        <f t="shared" si="18"/>
        <v>-2440</v>
      </c>
      <c r="AB66" s="53">
        <f t="shared" si="18"/>
        <v>0</v>
      </c>
      <c r="AC66" s="53">
        <f t="shared" si="18"/>
        <v>0</v>
      </c>
      <c r="AD66" s="53">
        <f t="shared" si="18"/>
        <v>0</v>
      </c>
      <c r="AE66" s="53">
        <f t="shared" si="18"/>
        <v>0</v>
      </c>
      <c r="AF66" s="53">
        <f>IF($B$9&lt;AF41,0,($B$21-$B18-$B19)/$B$9)</f>
        <v>0</v>
      </c>
      <c r="AG66" s="149"/>
    </row>
    <row r="67" spans="1:107" s="151" customFormat="1">
      <c r="A67" s="52" t="str">
        <f>languages!A198</f>
        <v>Resultado Operacional antes de Impuestos</v>
      </c>
      <c r="B67" s="53"/>
      <c r="C67" s="53">
        <f>C65+C50+C55+C66</f>
        <v>-1674.2666666666664</v>
      </c>
      <c r="D67" s="53">
        <f t="shared" ref="D67:V67" si="19">D65+D50+D55+D66</f>
        <v>-1581.9375360000004</v>
      </c>
      <c r="E67" s="53">
        <f t="shared" si="19"/>
        <v>-1478.7435467558394</v>
      </c>
      <c r="F67" s="53">
        <f t="shared" si="19"/>
        <v>-1333.4349368956791</v>
      </c>
      <c r="G67" s="53">
        <f t="shared" si="19"/>
        <v>-1116.0006537965742</v>
      </c>
      <c r="H67" s="53">
        <f t="shared" si="19"/>
        <v>-888.94541499960178</v>
      </c>
      <c r="I67" s="53">
        <f t="shared" si="19"/>
        <v>-651.78024160151517</v>
      </c>
      <c r="J67" s="53">
        <f t="shared" si="19"/>
        <v>-403.98890473362326</v>
      </c>
      <c r="K67" s="53">
        <f t="shared" si="19"/>
        <v>-145.02632807072678</v>
      </c>
      <c r="L67" s="53">
        <f t="shared" si="19"/>
        <v>125.68310567134949</v>
      </c>
      <c r="M67" s="53">
        <f t="shared" si="19"/>
        <v>408.74735008696007</v>
      </c>
      <c r="N67" s="53">
        <f t="shared" si="19"/>
        <v>704.80859847470447</v>
      </c>
      <c r="O67" s="53">
        <f t="shared" si="19"/>
        <v>1014.5453018470471</v>
      </c>
      <c r="P67" s="53">
        <f t="shared" si="19"/>
        <v>1338.6743085299904</v>
      </c>
      <c r="Q67" s="53">
        <f t="shared" si="19"/>
        <v>1677.953132753717</v>
      </c>
      <c r="R67" s="53">
        <f t="shared" si="19"/>
        <v>2033.1823600876269</v>
      </c>
      <c r="S67" s="53">
        <f t="shared" si="19"/>
        <v>2405.2081980534786</v>
      </c>
      <c r="T67" s="53">
        <f t="shared" si="19"/>
        <v>2794.9251807600212</v>
      </c>
      <c r="U67" s="53">
        <f t="shared" si="19"/>
        <v>3203.2790369433742</v>
      </c>
      <c r="V67" s="53">
        <f t="shared" si="19"/>
        <v>3618.130993062472</v>
      </c>
      <c r="W67" s="53">
        <f t="shared" ref="W67:AE67" si="20">W65+W50+W57+W66</f>
        <v>3868.8547193505347</v>
      </c>
      <c r="X67" s="53">
        <f t="shared" si="20"/>
        <v>4040.5850014542166</v>
      </c>
      <c r="Y67" s="53">
        <f t="shared" si="20"/>
        <v>4216.9772540772274</v>
      </c>
      <c r="Z67" s="53">
        <f t="shared" si="20"/>
        <v>4398.1576474689982</v>
      </c>
      <c r="AA67" s="53">
        <f t="shared" si="20"/>
        <v>4584.2557545195168</v>
      </c>
      <c r="AB67" s="53">
        <f t="shared" si="20"/>
        <v>0</v>
      </c>
      <c r="AC67" s="53">
        <f t="shared" si="20"/>
        <v>0</v>
      </c>
      <c r="AD67" s="53">
        <f t="shared" si="20"/>
        <v>0</v>
      </c>
      <c r="AE67" s="53">
        <f t="shared" si="20"/>
        <v>0</v>
      </c>
      <c r="AF67" s="53">
        <f>AF65+AF50+AF57+AF66</f>
        <v>0</v>
      </c>
      <c r="AG67" s="149"/>
    </row>
    <row r="68" spans="1:107" s="151" customFormat="1">
      <c r="A68" s="52" t="str">
        <f>languages!A199</f>
        <v>Impuestos (%) sobre Utilidades</v>
      </c>
      <c r="B68" s="53"/>
      <c r="C68" s="53">
        <f>IF(C67&gt;$B$11,(-C67+$B11)*$B10,0)</f>
        <v>0</v>
      </c>
      <c r="D68" s="53">
        <f>IF(D67&gt;$B$11,(-D67+$B11)*$B10,0)</f>
        <v>0</v>
      </c>
      <c r="E68" s="53">
        <f t="shared" ref="E68:V68" si="21">IF(E67&gt;$B$11,(-E67+$B11)*$B10,0)</f>
        <v>0</v>
      </c>
      <c r="F68" s="53">
        <f t="shared" si="21"/>
        <v>0</v>
      </c>
      <c r="G68" s="53">
        <f t="shared" si="21"/>
        <v>0</v>
      </c>
      <c r="H68" s="53">
        <f t="shared" si="21"/>
        <v>0</v>
      </c>
      <c r="I68" s="53">
        <f t="shared" si="21"/>
        <v>0</v>
      </c>
      <c r="J68" s="53">
        <f t="shared" si="21"/>
        <v>0</v>
      </c>
      <c r="K68" s="53">
        <f t="shared" si="21"/>
        <v>0</v>
      </c>
      <c r="L68" s="53">
        <f t="shared" si="21"/>
        <v>-26.393452190983393</v>
      </c>
      <c r="M68" s="53">
        <f t="shared" si="21"/>
        <v>-85.836943518261606</v>
      </c>
      <c r="N68" s="53">
        <f t="shared" si="21"/>
        <v>-148.00980567968793</v>
      </c>
      <c r="O68" s="53">
        <f t="shared" si="21"/>
        <v>-213.05451338787989</v>
      </c>
      <c r="P68" s="53">
        <f t="shared" si="21"/>
        <v>-281.12160479129795</v>
      </c>
      <c r="Q68" s="53">
        <f t="shared" si="21"/>
        <v>-352.37015787828057</v>
      </c>
      <c r="R68" s="53">
        <f t="shared" si="21"/>
        <v>-426.96829561840161</v>
      </c>
      <c r="S68" s="53">
        <f t="shared" si="21"/>
        <v>-505.09372159123046</v>
      </c>
      <c r="T68" s="53">
        <f t="shared" si="21"/>
        <v>-586.93428795960449</v>
      </c>
      <c r="U68" s="53">
        <f t="shared" si="21"/>
        <v>-672.68859775810859</v>
      </c>
      <c r="V68" s="53">
        <f t="shared" si="21"/>
        <v>-759.80750854311907</v>
      </c>
      <c r="W68" s="53">
        <f t="shared" ref="W68:AE68" si="22">IF(W67&gt;$B$11,(-W67+$B11)*$B10,0)</f>
        <v>-812.45949106361229</v>
      </c>
      <c r="X68" s="53">
        <f t="shared" si="22"/>
        <v>-848.52285030538542</v>
      </c>
      <c r="Y68" s="53">
        <f t="shared" si="22"/>
        <v>-885.56522335621776</v>
      </c>
      <c r="Z68" s="53">
        <f t="shared" si="22"/>
        <v>-923.61310596848955</v>
      </c>
      <c r="AA68" s="53">
        <f t="shared" si="22"/>
        <v>-962.69370844909849</v>
      </c>
      <c r="AB68" s="53">
        <f t="shared" si="22"/>
        <v>0</v>
      </c>
      <c r="AC68" s="53">
        <f t="shared" si="22"/>
        <v>0</v>
      </c>
      <c r="AD68" s="53">
        <f t="shared" si="22"/>
        <v>0</v>
      </c>
      <c r="AE68" s="53">
        <f t="shared" si="22"/>
        <v>0</v>
      </c>
      <c r="AF68" s="53">
        <f>IF(AF67&gt;$B$11,(-AF67+$B11)*$B10,0)</f>
        <v>0</v>
      </c>
      <c r="AG68" s="149"/>
    </row>
    <row r="69" spans="1:107" s="154" customFormat="1">
      <c r="A69" s="59" t="str">
        <f>languages!A200</f>
        <v>Resultado Operacional después de Impuestos</v>
      </c>
      <c r="B69" s="206">
        <f>B21-B29</f>
        <v>-12200</v>
      </c>
      <c r="C69" s="59">
        <f>SUM(C67:C68)</f>
        <v>-1674.2666666666664</v>
      </c>
      <c r="D69" s="59">
        <f>SUM(D67:D68)</f>
        <v>-1581.9375360000004</v>
      </c>
      <c r="E69" s="59">
        <f t="shared" ref="E69:V69" si="23">SUM(E67:E68)</f>
        <v>-1478.7435467558394</v>
      </c>
      <c r="F69" s="59">
        <f t="shared" si="23"/>
        <v>-1333.4349368956791</v>
      </c>
      <c r="G69" s="59">
        <f t="shared" si="23"/>
        <v>-1116.0006537965742</v>
      </c>
      <c r="H69" s="59">
        <f t="shared" si="23"/>
        <v>-888.94541499960178</v>
      </c>
      <c r="I69" s="59">
        <f t="shared" si="23"/>
        <v>-651.78024160151517</v>
      </c>
      <c r="J69" s="59">
        <f t="shared" si="23"/>
        <v>-403.98890473362326</v>
      </c>
      <c r="K69" s="59">
        <f t="shared" si="23"/>
        <v>-145.02632807072678</v>
      </c>
      <c r="L69" s="59">
        <f t="shared" si="23"/>
        <v>99.289653480366098</v>
      </c>
      <c r="M69" s="59">
        <f t="shared" si="23"/>
        <v>322.91040656869848</v>
      </c>
      <c r="N69" s="59">
        <f t="shared" si="23"/>
        <v>556.79879279501654</v>
      </c>
      <c r="O69" s="59">
        <f t="shared" si="23"/>
        <v>801.49078845916722</v>
      </c>
      <c r="P69" s="59">
        <f t="shared" si="23"/>
        <v>1057.5527037386923</v>
      </c>
      <c r="Q69" s="59">
        <f t="shared" si="23"/>
        <v>1325.5829748754363</v>
      </c>
      <c r="R69" s="59">
        <f t="shared" si="23"/>
        <v>1606.2140644692254</v>
      </c>
      <c r="S69" s="59">
        <f t="shared" si="23"/>
        <v>1900.1144764622481</v>
      </c>
      <c r="T69" s="59">
        <f t="shared" si="23"/>
        <v>2207.990892800417</v>
      </c>
      <c r="U69" s="59">
        <f t="shared" si="23"/>
        <v>2530.5904391852655</v>
      </c>
      <c r="V69" s="59">
        <f t="shared" si="23"/>
        <v>2858.3234845193529</v>
      </c>
      <c r="W69" s="59">
        <f t="shared" ref="W69:AE69" si="24">SUM(W67:W68)</f>
        <v>3056.3952282869222</v>
      </c>
      <c r="X69" s="59">
        <f t="shared" si="24"/>
        <v>3192.0621511488312</v>
      </c>
      <c r="Y69" s="59">
        <f t="shared" si="24"/>
        <v>3331.4120307210096</v>
      </c>
      <c r="Z69" s="59">
        <f t="shared" si="24"/>
        <v>3474.5445415005088</v>
      </c>
      <c r="AA69" s="59">
        <f t="shared" si="24"/>
        <v>3621.5620460704185</v>
      </c>
      <c r="AB69" s="59">
        <f t="shared" si="24"/>
        <v>0</v>
      </c>
      <c r="AC69" s="59">
        <f t="shared" si="24"/>
        <v>0</v>
      </c>
      <c r="AD69" s="59">
        <f t="shared" si="24"/>
        <v>0</v>
      </c>
      <c r="AE69" s="59">
        <f t="shared" si="24"/>
        <v>0</v>
      </c>
      <c r="AF69" s="59">
        <f>SUM(AF67:AF68)</f>
        <v>0</v>
      </c>
      <c r="AG69" s="152" t="str">
        <f>IF(AG41="","",IF($B$9&lt;AG41,"",AG65+AG50+AG57))</f>
        <v/>
      </c>
      <c r="AH69" s="152"/>
      <c r="AI69" s="152"/>
      <c r="AJ69" s="153"/>
      <c r="AK69" s="153"/>
      <c r="AL69" s="153"/>
    </row>
    <row r="70" spans="1:107" s="181" customFormat="1" ht="11.25" hidden="1">
      <c r="A70" s="178" t="str">
        <f>A69</f>
        <v>Resultado Operacional después de Impuestos</v>
      </c>
      <c r="B70" s="179">
        <f>B21</f>
        <v>-61000</v>
      </c>
      <c r="C70" s="179">
        <f>C69</f>
        <v>-1674.2666666666664</v>
      </c>
      <c r="D70" s="179">
        <f t="shared" ref="D70:V70" si="25">D69</f>
        <v>-1581.9375360000004</v>
      </c>
      <c r="E70" s="179">
        <f>E69</f>
        <v>-1478.7435467558394</v>
      </c>
      <c r="F70" s="179">
        <f t="shared" si="25"/>
        <v>-1333.4349368956791</v>
      </c>
      <c r="G70" s="179">
        <f t="shared" si="25"/>
        <v>-1116.0006537965742</v>
      </c>
      <c r="H70" s="179">
        <f t="shared" si="25"/>
        <v>-888.94541499960178</v>
      </c>
      <c r="I70" s="179">
        <f t="shared" si="25"/>
        <v>-651.78024160151517</v>
      </c>
      <c r="J70" s="179">
        <f t="shared" si="25"/>
        <v>-403.98890473362326</v>
      </c>
      <c r="K70" s="179">
        <f t="shared" si="25"/>
        <v>-145.02632807072678</v>
      </c>
      <c r="L70" s="179">
        <f t="shared" si="25"/>
        <v>99.289653480366098</v>
      </c>
      <c r="M70" s="179">
        <f t="shared" si="25"/>
        <v>322.91040656869848</v>
      </c>
      <c r="N70" s="179">
        <f t="shared" si="25"/>
        <v>556.79879279501654</v>
      </c>
      <c r="O70" s="179">
        <f t="shared" si="25"/>
        <v>801.49078845916722</v>
      </c>
      <c r="P70" s="179">
        <f t="shared" si="25"/>
        <v>1057.5527037386923</v>
      </c>
      <c r="Q70" s="179">
        <f t="shared" si="25"/>
        <v>1325.5829748754363</v>
      </c>
      <c r="R70" s="179">
        <f t="shared" si="25"/>
        <v>1606.2140644692254</v>
      </c>
      <c r="S70" s="179">
        <f t="shared" si="25"/>
        <v>1900.1144764622481</v>
      </c>
      <c r="T70" s="179">
        <f t="shared" si="25"/>
        <v>2207.990892800417</v>
      </c>
      <c r="U70" s="179">
        <f t="shared" si="25"/>
        <v>2530.5904391852655</v>
      </c>
      <c r="V70" s="179">
        <f t="shared" si="25"/>
        <v>2858.3234845193529</v>
      </c>
      <c r="W70" s="179">
        <f t="shared" ref="W70:AE70" si="26">W69</f>
        <v>3056.3952282869222</v>
      </c>
      <c r="X70" s="179">
        <f t="shared" si="26"/>
        <v>3192.0621511488312</v>
      </c>
      <c r="Y70" s="179">
        <f t="shared" si="26"/>
        <v>3331.4120307210096</v>
      </c>
      <c r="Z70" s="179">
        <f t="shared" si="26"/>
        <v>3474.5445415005088</v>
      </c>
      <c r="AA70" s="179">
        <f t="shared" si="26"/>
        <v>3621.5620460704185</v>
      </c>
      <c r="AB70" s="179">
        <f t="shared" si="26"/>
        <v>0</v>
      </c>
      <c r="AC70" s="179">
        <f t="shared" si="26"/>
        <v>0</v>
      </c>
      <c r="AD70" s="179">
        <f t="shared" si="26"/>
        <v>0</v>
      </c>
      <c r="AE70" s="179">
        <f t="shared" si="26"/>
        <v>0</v>
      </c>
      <c r="AF70" s="179">
        <f>AF69</f>
        <v>0</v>
      </c>
      <c r="AG70" s="180"/>
      <c r="AH70" s="180"/>
    </row>
    <row r="71" spans="1:107" s="151" customFormat="1" hidden="1">
      <c r="A71" s="52" t="str">
        <f>languages!A201</f>
        <v>Resultado Operacional Acumulado después de Impuestos</v>
      </c>
      <c r="B71" s="53">
        <f>-B70</f>
        <v>61000</v>
      </c>
      <c r="C71" s="53">
        <f>IF(C41&lt;=$B$9,C70,0)</f>
        <v>-1674.2666666666664</v>
      </c>
      <c r="D71" s="53">
        <f t="shared" ref="D71:V71" si="27">IF(D41&lt;=$B$9,D70+C71,0)</f>
        <v>-3256.2042026666668</v>
      </c>
      <c r="E71" s="53">
        <f t="shared" si="27"/>
        <v>-4734.9477494225066</v>
      </c>
      <c r="F71" s="53">
        <f t="shared" si="27"/>
        <v>-6068.3826863181857</v>
      </c>
      <c r="G71" s="53">
        <f t="shared" si="27"/>
        <v>-7184.3833401147604</v>
      </c>
      <c r="H71" s="53">
        <f t="shared" si="27"/>
        <v>-8073.3287551143621</v>
      </c>
      <c r="I71" s="53">
        <f t="shared" si="27"/>
        <v>-8725.1089967158769</v>
      </c>
      <c r="J71" s="53">
        <f t="shared" si="27"/>
        <v>-9129.0979014495006</v>
      </c>
      <c r="K71" s="53">
        <f t="shared" si="27"/>
        <v>-9274.1242295202283</v>
      </c>
      <c r="L71" s="53">
        <f t="shared" si="27"/>
        <v>-9174.8345760398624</v>
      </c>
      <c r="M71" s="53">
        <f t="shared" si="27"/>
        <v>-8851.9241694711636</v>
      </c>
      <c r="N71" s="53">
        <f t="shared" si="27"/>
        <v>-8295.1253766761474</v>
      </c>
      <c r="O71" s="53">
        <f t="shared" si="27"/>
        <v>-7493.6345882169799</v>
      </c>
      <c r="P71" s="53">
        <f t="shared" si="27"/>
        <v>-6436.081884478288</v>
      </c>
      <c r="Q71" s="53">
        <f t="shared" si="27"/>
        <v>-5110.4989096028512</v>
      </c>
      <c r="R71" s="53">
        <f t="shared" si="27"/>
        <v>-3504.2848451336258</v>
      </c>
      <c r="S71" s="53">
        <f t="shared" si="27"/>
        <v>-1604.1703686713777</v>
      </c>
      <c r="T71" s="53">
        <f t="shared" si="27"/>
        <v>603.82052412903931</v>
      </c>
      <c r="U71" s="53">
        <f t="shared" si="27"/>
        <v>3134.4109633143048</v>
      </c>
      <c r="V71" s="53">
        <f t="shared" si="27"/>
        <v>5992.7344478336581</v>
      </c>
      <c r="W71" s="53">
        <f t="shared" ref="W71:AF71" si="28">IF(W41&lt;=$B$9,W70+V71,0)</f>
        <v>9049.1296761205813</v>
      </c>
      <c r="X71" s="53">
        <f t="shared" si="28"/>
        <v>12241.191827269413</v>
      </c>
      <c r="Y71" s="53">
        <f t="shared" si="28"/>
        <v>15572.603857990423</v>
      </c>
      <c r="Z71" s="53">
        <f t="shared" si="28"/>
        <v>19047.148399490932</v>
      </c>
      <c r="AA71" s="53">
        <f t="shared" si="28"/>
        <v>22668.710445561352</v>
      </c>
      <c r="AB71" s="53">
        <f t="shared" si="28"/>
        <v>0</v>
      </c>
      <c r="AC71" s="53">
        <f t="shared" si="28"/>
        <v>0</v>
      </c>
      <c r="AD71" s="53">
        <f t="shared" si="28"/>
        <v>0</v>
      </c>
      <c r="AE71" s="53">
        <f t="shared" si="28"/>
        <v>0</v>
      </c>
      <c r="AF71" s="53">
        <f t="shared" si="28"/>
        <v>0</v>
      </c>
      <c r="AG71" s="62"/>
      <c r="AH71" s="176"/>
      <c r="AI71" s="176"/>
      <c r="DC71" s="159"/>
    </row>
    <row r="72" spans="1:107" s="181" customFormat="1" ht="11.25" hidden="1">
      <c r="A72" s="178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80"/>
      <c r="DC72" s="182"/>
    </row>
    <row r="73" spans="1:107" s="151" customFormat="1" hidden="1">
      <c r="A73" s="52" t="str">
        <f>languages!A202</f>
        <v>Resultado Operacional Descontado después de Impuestos</v>
      </c>
      <c r="B73" s="53">
        <f>B70</f>
        <v>-61000</v>
      </c>
      <c r="C73" s="205">
        <f t="shared" ref="C73:V73" si="29">C69/(1+$B$6)^C41</f>
        <v>-1522.0606060606058</v>
      </c>
      <c r="D73" s="205">
        <f t="shared" si="29"/>
        <v>-1307.38639338843</v>
      </c>
      <c r="E73" s="205">
        <f t="shared" si="29"/>
        <v>-1111.0019134153561</v>
      </c>
      <c r="F73" s="205">
        <f t="shared" si="29"/>
        <v>-910.75400375362256</v>
      </c>
      <c r="G73" s="205">
        <f t="shared" si="29"/>
        <v>-692.94860249025078</v>
      </c>
      <c r="H73" s="205">
        <f t="shared" si="29"/>
        <v>-501.78651200811112</v>
      </c>
      <c r="I73" s="205">
        <f t="shared" si="29"/>
        <v>-334.46632228018871</v>
      </c>
      <c r="J73" s="205">
        <f t="shared" si="29"/>
        <v>-188.46380558108206</v>
      </c>
      <c r="K73" s="205">
        <f t="shared" si="29"/>
        <v>-61.505320336101846</v>
      </c>
      <c r="L73" s="205">
        <f t="shared" si="29"/>
        <v>38.280459609138674</v>
      </c>
      <c r="M73" s="205">
        <f t="shared" si="29"/>
        <v>113.17812758138489</v>
      </c>
      <c r="N73" s="205">
        <f t="shared" si="29"/>
        <v>177.41325464841552</v>
      </c>
      <c r="O73" s="205">
        <f t="shared" si="29"/>
        <v>232.16333210369351</v>
      </c>
      <c r="P73" s="205">
        <f t="shared" si="29"/>
        <v>278.48667997029582</v>
      </c>
      <c r="Q73" s="205">
        <f t="shared" si="29"/>
        <v>317.33402496430296</v>
      </c>
      <c r="R73" s="205">
        <f t="shared" si="29"/>
        <v>349.55897874441945</v>
      </c>
      <c r="S73" s="205">
        <f t="shared" si="29"/>
        <v>375.9275194680269</v>
      </c>
      <c r="T73" s="205">
        <f t="shared" si="29"/>
        <v>397.12657010964728</v>
      </c>
      <c r="U73" s="205">
        <f t="shared" si="29"/>
        <v>413.77175831607934</v>
      </c>
      <c r="V73" s="205">
        <f t="shared" si="29"/>
        <v>424.87157280556835</v>
      </c>
      <c r="W73" s="205">
        <f t="shared" ref="W73:AE73" si="30">W69/(1+$B$6)^W41</f>
        <v>413.01243218931666</v>
      </c>
      <c r="X73" s="205">
        <f t="shared" si="30"/>
        <v>392.13198266554878</v>
      </c>
      <c r="Y73" s="205">
        <f t="shared" si="30"/>
        <v>372.04595844451546</v>
      </c>
      <c r="Z73" s="205">
        <f t="shared" si="30"/>
        <v>352.75521233530475</v>
      </c>
      <c r="AA73" s="205">
        <f t="shared" si="30"/>
        <v>334.25568400223972</v>
      </c>
      <c r="AB73" s="205">
        <f t="shared" si="30"/>
        <v>0</v>
      </c>
      <c r="AC73" s="205">
        <f t="shared" si="30"/>
        <v>0</v>
      </c>
      <c r="AD73" s="205">
        <f t="shared" si="30"/>
        <v>0</v>
      </c>
      <c r="AE73" s="205">
        <f t="shared" si="30"/>
        <v>0</v>
      </c>
      <c r="AF73" s="205">
        <f>AF69/(1+$B$6)^AF41</f>
        <v>0</v>
      </c>
      <c r="AG73" s="149"/>
    </row>
    <row r="74" spans="1:107" s="151" customFormat="1" hidden="1">
      <c r="A74" s="52" t="str">
        <f>languages!A203</f>
        <v>Resultado Operacional Descontado y Acumulado después de Impuestos</v>
      </c>
      <c r="B74" s="53">
        <f>B71</f>
        <v>61000</v>
      </c>
      <c r="C74" s="53">
        <f>IF(C41&lt;=$B$9,C73,0)</f>
        <v>-1522.0606060606058</v>
      </c>
      <c r="D74" s="53">
        <f t="shared" ref="D74:V74" si="31">IF(D41&lt;=$B$9,D73+C74,0)</f>
        <v>-2829.4469994490355</v>
      </c>
      <c r="E74" s="53">
        <f t="shared" si="31"/>
        <v>-3940.4489128643918</v>
      </c>
      <c r="F74" s="53">
        <f t="shared" si="31"/>
        <v>-4851.2029166180146</v>
      </c>
      <c r="G74" s="53">
        <f t="shared" si="31"/>
        <v>-5544.1515191082653</v>
      </c>
      <c r="H74" s="53">
        <f t="shared" si="31"/>
        <v>-6045.9380311163768</v>
      </c>
      <c r="I74" s="53">
        <f t="shared" si="31"/>
        <v>-6380.4043533965651</v>
      </c>
      <c r="J74" s="53">
        <f t="shared" si="31"/>
        <v>-6568.868158977647</v>
      </c>
      <c r="K74" s="53">
        <f t="shared" si="31"/>
        <v>-6630.3734793137492</v>
      </c>
      <c r="L74" s="53">
        <f t="shared" si="31"/>
        <v>-6592.0930197046109</v>
      </c>
      <c r="M74" s="53">
        <f t="shared" si="31"/>
        <v>-6478.9148921232263</v>
      </c>
      <c r="N74" s="53">
        <f t="shared" si="31"/>
        <v>-6301.5016374748111</v>
      </c>
      <c r="O74" s="53">
        <f t="shared" si="31"/>
        <v>-6069.3383053711177</v>
      </c>
      <c r="P74" s="53">
        <f t="shared" si="31"/>
        <v>-5790.8516254008218</v>
      </c>
      <c r="Q74" s="53">
        <f t="shared" si="31"/>
        <v>-5473.5176004365185</v>
      </c>
      <c r="R74" s="53">
        <f t="shared" si="31"/>
        <v>-5123.9586216920989</v>
      </c>
      <c r="S74" s="53">
        <f t="shared" si="31"/>
        <v>-4748.0311022240721</v>
      </c>
      <c r="T74" s="53">
        <f t="shared" si="31"/>
        <v>-4350.9045321144249</v>
      </c>
      <c r="U74" s="53">
        <f t="shared" si="31"/>
        <v>-3937.1327737983456</v>
      </c>
      <c r="V74" s="53">
        <f t="shared" si="31"/>
        <v>-3512.261200992777</v>
      </c>
      <c r="W74" s="53">
        <f t="shared" ref="W74:AF74" si="32">IF(W41&lt;=$B$9,W73+V74,0)</f>
        <v>-3099.2487688034603</v>
      </c>
      <c r="X74" s="53">
        <f t="shared" si="32"/>
        <v>-2707.1167861379117</v>
      </c>
      <c r="Y74" s="53">
        <f t="shared" si="32"/>
        <v>-2335.0708276933965</v>
      </c>
      <c r="Z74" s="53">
        <f t="shared" si="32"/>
        <v>-1982.3156153580917</v>
      </c>
      <c r="AA74" s="53">
        <f t="shared" si="32"/>
        <v>-1648.0599313558519</v>
      </c>
      <c r="AB74" s="53">
        <f t="shared" si="32"/>
        <v>0</v>
      </c>
      <c r="AC74" s="53">
        <f t="shared" si="32"/>
        <v>0</v>
      </c>
      <c r="AD74" s="53">
        <f t="shared" si="32"/>
        <v>0</v>
      </c>
      <c r="AE74" s="53">
        <f t="shared" si="32"/>
        <v>0</v>
      </c>
      <c r="AF74" s="53">
        <f t="shared" si="32"/>
        <v>0</v>
      </c>
      <c r="AG74" s="62"/>
      <c r="AH74" s="176"/>
    </row>
    <row r="75" spans="1:107" s="181" customFormat="1" ht="11.25" hidden="1">
      <c r="A75" s="178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80"/>
      <c r="DC75" s="182"/>
    </row>
    <row r="76" spans="1:107" s="151" customFormat="1">
      <c r="A76" s="160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149"/>
    </row>
    <row r="77" spans="1:107" s="135" customFormat="1">
      <c r="A77" s="133" t="str">
        <f>languages!A205</f>
        <v>Liquidez y DSCR (Índice de Cobertura de Servicio de Deuda)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</row>
    <row r="78" spans="1:107" s="151" customFormat="1">
      <c r="A78" s="139" t="str">
        <f>languages!A207</f>
        <v>dividendos a los accionistas en% sobre el capital propio de inversión</v>
      </c>
      <c r="B78" s="53"/>
      <c r="C78" s="525"/>
      <c r="D78" s="525">
        <v>0</v>
      </c>
      <c r="E78" s="525">
        <v>0</v>
      </c>
      <c r="F78" s="525">
        <v>0</v>
      </c>
      <c r="G78" s="525">
        <v>0</v>
      </c>
      <c r="H78" s="525">
        <v>0</v>
      </c>
      <c r="I78" s="525">
        <v>0</v>
      </c>
      <c r="J78" s="525">
        <f>I78</f>
        <v>0</v>
      </c>
      <c r="K78" s="525">
        <f>J78</f>
        <v>0</v>
      </c>
      <c r="L78" s="525">
        <f>K78</f>
        <v>0</v>
      </c>
      <c r="M78" s="525">
        <f>L78</f>
        <v>0</v>
      </c>
      <c r="N78" s="525">
        <v>0</v>
      </c>
      <c r="O78" s="525">
        <v>0</v>
      </c>
      <c r="P78" s="525">
        <v>0</v>
      </c>
      <c r="Q78" s="525">
        <v>0</v>
      </c>
      <c r="R78" s="525">
        <v>0</v>
      </c>
      <c r="S78" s="525">
        <v>0</v>
      </c>
      <c r="T78" s="525">
        <v>0</v>
      </c>
      <c r="U78" s="525">
        <v>0</v>
      </c>
      <c r="V78" s="525">
        <v>0</v>
      </c>
      <c r="W78" s="525">
        <v>0</v>
      </c>
      <c r="X78" s="525">
        <v>0</v>
      </c>
      <c r="Y78" s="525">
        <v>0</v>
      </c>
      <c r="Z78" s="525">
        <v>0</v>
      </c>
      <c r="AA78" s="525">
        <v>0</v>
      </c>
      <c r="AB78" s="525">
        <v>0</v>
      </c>
      <c r="AC78" s="525">
        <v>0</v>
      </c>
      <c r="AD78" s="525">
        <v>0</v>
      </c>
      <c r="AE78" s="525">
        <v>0</v>
      </c>
      <c r="AF78" s="525">
        <v>0</v>
      </c>
      <c r="AG78" s="149"/>
      <c r="AH78" s="150" t="s">
        <v>108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</row>
    <row r="79" spans="1:107" s="151" customFormat="1">
      <c r="A79" s="161" t="str">
        <f>languages!A208</f>
        <v>Dividendo a Accionistas en % sobre Capital Propio</v>
      </c>
      <c r="B79" s="53"/>
      <c r="C79" s="53">
        <f t="shared" ref="C79:V79" si="33">$B30*C78</f>
        <v>0</v>
      </c>
      <c r="D79" s="53">
        <f t="shared" si="33"/>
        <v>0</v>
      </c>
      <c r="E79" s="53">
        <f t="shared" si="33"/>
        <v>0</v>
      </c>
      <c r="F79" s="53">
        <f t="shared" si="33"/>
        <v>0</v>
      </c>
      <c r="G79" s="53">
        <f t="shared" si="33"/>
        <v>0</v>
      </c>
      <c r="H79" s="53">
        <f t="shared" si="33"/>
        <v>0</v>
      </c>
      <c r="I79" s="53">
        <f t="shared" si="33"/>
        <v>0</v>
      </c>
      <c r="J79" s="53">
        <f t="shared" si="33"/>
        <v>0</v>
      </c>
      <c r="K79" s="53">
        <f t="shared" si="33"/>
        <v>0</v>
      </c>
      <c r="L79" s="53">
        <f t="shared" si="33"/>
        <v>0</v>
      </c>
      <c r="M79" s="53">
        <f t="shared" si="33"/>
        <v>0</v>
      </c>
      <c r="N79" s="53">
        <f t="shared" si="33"/>
        <v>0</v>
      </c>
      <c r="O79" s="53">
        <f t="shared" si="33"/>
        <v>0</v>
      </c>
      <c r="P79" s="53">
        <f t="shared" si="33"/>
        <v>0</v>
      </c>
      <c r="Q79" s="53">
        <f t="shared" si="33"/>
        <v>0</v>
      </c>
      <c r="R79" s="53">
        <f t="shared" si="33"/>
        <v>0</v>
      </c>
      <c r="S79" s="53">
        <f t="shared" si="33"/>
        <v>0</v>
      </c>
      <c r="T79" s="53">
        <f t="shared" si="33"/>
        <v>0</v>
      </c>
      <c r="U79" s="53">
        <f t="shared" si="33"/>
        <v>0</v>
      </c>
      <c r="V79" s="53">
        <f t="shared" si="33"/>
        <v>0</v>
      </c>
      <c r="W79" s="53">
        <f t="shared" ref="W79:AE79" si="34">$B30*W78</f>
        <v>0</v>
      </c>
      <c r="X79" s="53">
        <f t="shared" si="34"/>
        <v>0</v>
      </c>
      <c r="Y79" s="53">
        <f t="shared" si="34"/>
        <v>0</v>
      </c>
      <c r="Z79" s="53">
        <f t="shared" si="34"/>
        <v>0</v>
      </c>
      <c r="AA79" s="53">
        <f t="shared" si="34"/>
        <v>0</v>
      </c>
      <c r="AB79" s="53">
        <f t="shared" si="34"/>
        <v>0</v>
      </c>
      <c r="AC79" s="53">
        <f t="shared" si="34"/>
        <v>0</v>
      </c>
      <c r="AD79" s="53">
        <f t="shared" si="34"/>
        <v>0</v>
      </c>
      <c r="AE79" s="53">
        <f t="shared" si="34"/>
        <v>0</v>
      </c>
      <c r="AF79" s="53">
        <f>$B30*AF78</f>
        <v>0</v>
      </c>
      <c r="AG79" s="149">
        <f>SUM(C79:AF79)</f>
        <v>0</v>
      </c>
      <c r="AH79" s="151">
        <f>AF86-AG79</f>
        <v>30964.710445561352</v>
      </c>
    </row>
    <row r="80" spans="1:107" s="151" customFormat="1">
      <c r="A80" s="161" t="str">
        <f>languages!A204</f>
        <v>Liquidez al inicio</v>
      </c>
      <c r="B80" s="53">
        <f>-B19+B39</f>
        <v>-3903.9999999999982</v>
      </c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149"/>
    </row>
    <row r="81" spans="1:38" s="151" customFormat="1">
      <c r="A81" s="161" t="str">
        <f>languages!A200</f>
        <v>Resultado Operacional después de Impuestos</v>
      </c>
      <c r="B81" s="53"/>
      <c r="C81" s="53">
        <f>C69</f>
        <v>-1674.2666666666664</v>
      </c>
      <c r="D81" s="53">
        <f t="shared" ref="D81:V81" si="35">D69</f>
        <v>-1581.9375360000004</v>
      </c>
      <c r="E81" s="53">
        <f t="shared" si="35"/>
        <v>-1478.7435467558394</v>
      </c>
      <c r="F81" s="53">
        <f t="shared" si="35"/>
        <v>-1333.4349368956791</v>
      </c>
      <c r="G81" s="53">
        <f t="shared" si="35"/>
        <v>-1116.0006537965742</v>
      </c>
      <c r="H81" s="53">
        <f t="shared" si="35"/>
        <v>-888.94541499960178</v>
      </c>
      <c r="I81" s="53">
        <f t="shared" si="35"/>
        <v>-651.78024160151517</v>
      </c>
      <c r="J81" s="53">
        <f t="shared" si="35"/>
        <v>-403.98890473362326</v>
      </c>
      <c r="K81" s="53">
        <f t="shared" si="35"/>
        <v>-145.02632807072678</v>
      </c>
      <c r="L81" s="53">
        <f t="shared" si="35"/>
        <v>99.289653480366098</v>
      </c>
      <c r="M81" s="53">
        <f t="shared" si="35"/>
        <v>322.91040656869848</v>
      </c>
      <c r="N81" s="53">
        <f t="shared" si="35"/>
        <v>556.79879279501654</v>
      </c>
      <c r="O81" s="53">
        <f t="shared" si="35"/>
        <v>801.49078845916722</v>
      </c>
      <c r="P81" s="53">
        <f t="shared" si="35"/>
        <v>1057.5527037386923</v>
      </c>
      <c r="Q81" s="53">
        <f t="shared" si="35"/>
        <v>1325.5829748754363</v>
      </c>
      <c r="R81" s="53">
        <f t="shared" si="35"/>
        <v>1606.2140644692254</v>
      </c>
      <c r="S81" s="53">
        <f t="shared" si="35"/>
        <v>1900.1144764622481</v>
      </c>
      <c r="T81" s="53">
        <f t="shared" si="35"/>
        <v>2207.990892800417</v>
      </c>
      <c r="U81" s="53">
        <f t="shared" si="35"/>
        <v>2530.5904391852655</v>
      </c>
      <c r="V81" s="53">
        <f t="shared" si="35"/>
        <v>2858.3234845193529</v>
      </c>
      <c r="W81" s="53">
        <f t="shared" ref="W81:AE81" si="36">W69</f>
        <v>3056.3952282869222</v>
      </c>
      <c r="X81" s="53">
        <f t="shared" si="36"/>
        <v>3192.0621511488312</v>
      </c>
      <c r="Y81" s="53">
        <f t="shared" si="36"/>
        <v>3331.4120307210096</v>
      </c>
      <c r="Z81" s="53">
        <f t="shared" si="36"/>
        <v>3474.5445415005088</v>
      </c>
      <c r="AA81" s="53">
        <f t="shared" si="36"/>
        <v>3621.5620460704185</v>
      </c>
      <c r="AB81" s="53">
        <f t="shared" si="36"/>
        <v>0</v>
      </c>
      <c r="AC81" s="53">
        <f t="shared" si="36"/>
        <v>0</v>
      </c>
      <c r="AD81" s="53">
        <f t="shared" si="36"/>
        <v>0</v>
      </c>
      <c r="AE81" s="53">
        <f t="shared" si="36"/>
        <v>0</v>
      </c>
      <c r="AF81" s="53">
        <f>AF69</f>
        <v>0</v>
      </c>
      <c r="AG81" s="149"/>
    </row>
    <row r="82" spans="1:38" s="151" customFormat="1">
      <c r="A82" s="161" t="str">
        <f>languages!A209</f>
        <v>Depreciación Equipos/Planta</v>
      </c>
      <c r="B82" s="53"/>
      <c r="C82" s="53">
        <f>C66</f>
        <v>-2440</v>
      </c>
      <c r="D82" s="53">
        <f t="shared" ref="D82:V82" si="37">D66</f>
        <v>-2440</v>
      </c>
      <c r="E82" s="53">
        <f t="shared" si="37"/>
        <v>-2440</v>
      </c>
      <c r="F82" s="53">
        <f t="shared" si="37"/>
        <v>-2440</v>
      </c>
      <c r="G82" s="53">
        <f t="shared" si="37"/>
        <v>-2440</v>
      </c>
      <c r="H82" s="53">
        <f t="shared" si="37"/>
        <v>-2440</v>
      </c>
      <c r="I82" s="53">
        <f t="shared" si="37"/>
        <v>-2440</v>
      </c>
      <c r="J82" s="53">
        <f t="shared" si="37"/>
        <v>-2440</v>
      </c>
      <c r="K82" s="53">
        <f t="shared" si="37"/>
        <v>-2440</v>
      </c>
      <c r="L82" s="53">
        <f t="shared" si="37"/>
        <v>-2440</v>
      </c>
      <c r="M82" s="53">
        <f t="shared" si="37"/>
        <v>-2440</v>
      </c>
      <c r="N82" s="53">
        <f t="shared" si="37"/>
        <v>-2440</v>
      </c>
      <c r="O82" s="53">
        <f t="shared" si="37"/>
        <v>-2440</v>
      </c>
      <c r="P82" s="53">
        <f t="shared" si="37"/>
        <v>-2440</v>
      </c>
      <c r="Q82" s="53">
        <f t="shared" si="37"/>
        <v>-2440</v>
      </c>
      <c r="R82" s="53">
        <f t="shared" si="37"/>
        <v>-2440</v>
      </c>
      <c r="S82" s="53">
        <f t="shared" si="37"/>
        <v>-2440</v>
      </c>
      <c r="T82" s="53">
        <f t="shared" si="37"/>
        <v>-2440</v>
      </c>
      <c r="U82" s="53">
        <f t="shared" si="37"/>
        <v>-2440</v>
      </c>
      <c r="V82" s="53">
        <f t="shared" si="37"/>
        <v>-2440</v>
      </c>
      <c r="W82" s="53">
        <f t="shared" ref="W82:AE82" si="38">W66</f>
        <v>-2440</v>
      </c>
      <c r="X82" s="53">
        <f t="shared" si="38"/>
        <v>-2440</v>
      </c>
      <c r="Y82" s="53">
        <f t="shared" si="38"/>
        <v>-2440</v>
      </c>
      <c r="Z82" s="53">
        <f t="shared" si="38"/>
        <v>-2440</v>
      </c>
      <c r="AA82" s="53">
        <f t="shared" si="38"/>
        <v>-2440</v>
      </c>
      <c r="AB82" s="53">
        <f t="shared" si="38"/>
        <v>0</v>
      </c>
      <c r="AC82" s="53">
        <f t="shared" si="38"/>
        <v>0</v>
      </c>
      <c r="AD82" s="53">
        <f t="shared" si="38"/>
        <v>0</v>
      </c>
      <c r="AE82" s="53">
        <f t="shared" si="38"/>
        <v>0</v>
      </c>
      <c r="AF82" s="53">
        <f>AF66</f>
        <v>0</v>
      </c>
      <c r="AG82" s="149"/>
    </row>
    <row r="83" spans="1:38" s="151" customFormat="1">
      <c r="A83" s="161" t="str">
        <f>languages!A210</f>
        <v>Flujo de Caja (antes de reembolso)</v>
      </c>
      <c r="B83" s="265"/>
      <c r="C83" s="53">
        <f>C81-C82-C52</f>
        <v>765.73333333333358</v>
      </c>
      <c r="D83" s="53">
        <f t="shared" ref="D83:AF83" si="39">D81-D82-D52</f>
        <v>858.06246399999964</v>
      </c>
      <c r="E83" s="53">
        <f t="shared" si="39"/>
        <v>961.25645324416064</v>
      </c>
      <c r="F83" s="53">
        <f t="shared" si="39"/>
        <v>1106.5650631043209</v>
      </c>
      <c r="G83" s="53">
        <f t="shared" si="39"/>
        <v>1323.9993462034258</v>
      </c>
      <c r="H83" s="53">
        <f t="shared" si="39"/>
        <v>1551.0545850003982</v>
      </c>
      <c r="I83" s="53">
        <f t="shared" si="39"/>
        <v>1788.2197583984848</v>
      </c>
      <c r="J83" s="53">
        <f t="shared" si="39"/>
        <v>2036.0110952663767</v>
      </c>
      <c r="K83" s="53">
        <f t="shared" si="39"/>
        <v>2294.9736719292732</v>
      </c>
      <c r="L83" s="53">
        <f t="shared" si="39"/>
        <v>2539.2896534803663</v>
      </c>
      <c r="M83" s="53">
        <f t="shared" si="39"/>
        <v>2762.9104065686984</v>
      </c>
      <c r="N83" s="53">
        <f t="shared" si="39"/>
        <v>2996.7987927950167</v>
      </c>
      <c r="O83" s="53">
        <f t="shared" si="39"/>
        <v>3241.4907884591671</v>
      </c>
      <c r="P83" s="53">
        <f t="shared" si="39"/>
        <v>3497.5527037386923</v>
      </c>
      <c r="Q83" s="53">
        <f t="shared" si="39"/>
        <v>3765.5829748754363</v>
      </c>
      <c r="R83" s="53">
        <f t="shared" si="39"/>
        <v>4046.2140644692254</v>
      </c>
      <c r="S83" s="53">
        <f t="shared" si="39"/>
        <v>4340.1144764622477</v>
      </c>
      <c r="T83" s="53">
        <f t="shared" si="39"/>
        <v>4647.990892800417</v>
      </c>
      <c r="U83" s="53">
        <f t="shared" si="39"/>
        <v>4970.5904391852655</v>
      </c>
      <c r="V83" s="53">
        <f t="shared" si="39"/>
        <v>5298.3234845193529</v>
      </c>
      <c r="W83" s="53">
        <f t="shared" si="39"/>
        <v>5496.3952282869222</v>
      </c>
      <c r="X83" s="53">
        <f t="shared" si="39"/>
        <v>5632.0621511488316</v>
      </c>
      <c r="Y83" s="53">
        <f t="shared" si="39"/>
        <v>5771.4120307210096</v>
      </c>
      <c r="Z83" s="53">
        <f t="shared" si="39"/>
        <v>5914.5445415005088</v>
      </c>
      <c r="AA83" s="53">
        <f t="shared" si="39"/>
        <v>6061.5620460704185</v>
      </c>
      <c r="AB83" s="53">
        <f t="shared" si="39"/>
        <v>0</v>
      </c>
      <c r="AC83" s="53">
        <f t="shared" si="39"/>
        <v>0</v>
      </c>
      <c r="AD83" s="53">
        <f t="shared" si="39"/>
        <v>0</v>
      </c>
      <c r="AE83" s="53">
        <f t="shared" si="39"/>
        <v>0</v>
      </c>
      <c r="AF83" s="53">
        <f t="shared" si="39"/>
        <v>0</v>
      </c>
      <c r="AG83" s="149">
        <f>SUM(C83:AF83)</f>
        <v>83668.710445561359</v>
      </c>
    </row>
    <row r="84" spans="1:38" s="151" customFormat="1">
      <c r="A84" s="161" t="str">
        <f>languages!A211</f>
        <v>Flujo de Caja (después de reembolso)</v>
      </c>
      <c r="B84" s="265">
        <f>B69</f>
        <v>-12200</v>
      </c>
      <c r="C84" s="53">
        <f>C83+C56</f>
        <v>765.73333333333358</v>
      </c>
      <c r="D84" s="53">
        <f t="shared" ref="D84:AF84" si="40">D83+D56</f>
        <v>858.06246399999964</v>
      </c>
      <c r="E84" s="53">
        <f t="shared" si="40"/>
        <v>961.25645324416064</v>
      </c>
      <c r="F84" s="53">
        <f t="shared" si="40"/>
        <v>-662.45042183183227</v>
      </c>
      <c r="G84" s="53">
        <f t="shared" si="40"/>
        <v>-553.56920999901558</v>
      </c>
      <c r="H84" s="53">
        <f t="shared" si="40"/>
        <v>-441.72824435247981</v>
      </c>
      <c r="I84" s="53">
        <f t="shared" si="40"/>
        <v>-326.84730098801901</v>
      </c>
      <c r="J84" s="53">
        <f t="shared" si="40"/>
        <v>-208.8439886940605</v>
      </c>
      <c r="K84" s="53">
        <f t="shared" si="40"/>
        <v>-87.633690621559253</v>
      </c>
      <c r="L84" s="53">
        <f t="shared" si="40"/>
        <v>10.477043418147332</v>
      </c>
      <c r="M84" s="53">
        <f t="shared" si="40"/>
        <v>78.920875887788043</v>
      </c>
      <c r="N84" s="53">
        <f t="shared" si="40"/>
        <v>148.11013467119847</v>
      </c>
      <c r="O84" s="53">
        <f t="shared" si="40"/>
        <v>217.99647964770475</v>
      </c>
      <c r="P84" s="53">
        <f t="shared" si="40"/>
        <v>288.52604884407901</v>
      </c>
      <c r="Q84" s="53">
        <f t="shared" si="40"/>
        <v>359.63905038622261</v>
      </c>
      <c r="R84" s="53">
        <f t="shared" si="40"/>
        <v>431.26932754370637</v>
      </c>
      <c r="S84" s="53">
        <f t="shared" si="40"/>
        <v>503.34389516582223</v>
      </c>
      <c r="T84" s="53">
        <f t="shared" si="40"/>
        <v>575.7824457020979</v>
      </c>
      <c r="U84" s="53">
        <f t="shared" si="40"/>
        <v>648.49682288787608</v>
      </c>
      <c r="V84" s="53">
        <f t="shared" si="40"/>
        <v>2426.1929295884884</v>
      </c>
      <c r="W84" s="53">
        <f t="shared" si="40"/>
        <v>5496.3952282869222</v>
      </c>
      <c r="X84" s="53">
        <f t="shared" si="40"/>
        <v>5632.0621511488316</v>
      </c>
      <c r="Y84" s="53">
        <f t="shared" si="40"/>
        <v>5771.4120307210096</v>
      </c>
      <c r="Z84" s="53">
        <f t="shared" si="40"/>
        <v>5914.5445415005088</v>
      </c>
      <c r="AA84" s="53">
        <f t="shared" si="40"/>
        <v>6061.5620460704185</v>
      </c>
      <c r="AB84" s="53">
        <f t="shared" si="40"/>
        <v>0</v>
      </c>
      <c r="AC84" s="53">
        <f t="shared" si="40"/>
        <v>0</v>
      </c>
      <c r="AD84" s="53">
        <f t="shared" si="40"/>
        <v>0</v>
      </c>
      <c r="AE84" s="53">
        <f t="shared" si="40"/>
        <v>0</v>
      </c>
      <c r="AF84" s="53">
        <f t="shared" si="40"/>
        <v>0</v>
      </c>
      <c r="AG84" s="149">
        <f>SUM(C84:AF84)</f>
        <v>34868.710445561352</v>
      </c>
    </row>
    <row r="85" spans="1:38" s="151" customFormat="1">
      <c r="A85" s="161" t="str">
        <f>languages!A213</f>
        <v>Pago Deuda Bancaria (Reembolso + Intereses)</v>
      </c>
      <c r="B85" s="53"/>
      <c r="C85" s="53">
        <f>C57</f>
        <v>-2919.8666666666668</v>
      </c>
      <c r="D85" s="53">
        <f t="shared" ref="D85:V85" si="41">D57</f>
        <v>-2928</v>
      </c>
      <c r="E85" s="53">
        <f t="shared" si="41"/>
        <v>-2928</v>
      </c>
      <c r="F85" s="53">
        <f t="shared" si="41"/>
        <v>-4657.7064464996347</v>
      </c>
      <c r="G85" s="53">
        <f t="shared" si="41"/>
        <v>-4657.7064464996347</v>
      </c>
      <c r="H85" s="53">
        <f t="shared" si="41"/>
        <v>-4657.7064464996347</v>
      </c>
      <c r="I85" s="53">
        <f t="shared" si="41"/>
        <v>-4657.7064464996347</v>
      </c>
      <c r="J85" s="53">
        <f t="shared" si="41"/>
        <v>-4657.7064464996347</v>
      </c>
      <c r="K85" s="53">
        <f t="shared" si="41"/>
        <v>-4657.7064464996347</v>
      </c>
      <c r="L85" s="53">
        <f t="shared" si="41"/>
        <v>-4657.7064464996347</v>
      </c>
      <c r="M85" s="53">
        <f t="shared" si="41"/>
        <v>-4657.7064464996347</v>
      </c>
      <c r="N85" s="53">
        <f t="shared" si="41"/>
        <v>-4657.7064464996347</v>
      </c>
      <c r="O85" s="53">
        <f>O57</f>
        <v>-4657.7064464996347</v>
      </c>
      <c r="P85" s="53">
        <f t="shared" si="41"/>
        <v>-4657.7064464996347</v>
      </c>
      <c r="Q85" s="53">
        <f t="shared" si="41"/>
        <v>-4657.7064464996347</v>
      </c>
      <c r="R85" s="53">
        <f t="shared" si="41"/>
        <v>-4657.7064464996347</v>
      </c>
      <c r="S85" s="53">
        <f t="shared" si="41"/>
        <v>-4657.7064464996347</v>
      </c>
      <c r="T85" s="53">
        <f t="shared" si="41"/>
        <v>-4657.7064464996347</v>
      </c>
      <c r="U85" s="53">
        <f t="shared" si="41"/>
        <v>-4657.7064464996347</v>
      </c>
      <c r="V85" s="53">
        <f t="shared" si="41"/>
        <v>-2955.663113012552</v>
      </c>
      <c r="W85" s="53">
        <f t="shared" ref="W85:AE85" si="42">W57</f>
        <v>0</v>
      </c>
      <c r="X85" s="53">
        <f t="shared" si="42"/>
        <v>0</v>
      </c>
      <c r="Y85" s="53">
        <f t="shared" si="42"/>
        <v>0</v>
      </c>
      <c r="Z85" s="53">
        <f t="shared" si="42"/>
        <v>0</v>
      </c>
      <c r="AA85" s="53">
        <f t="shared" si="42"/>
        <v>0</v>
      </c>
      <c r="AB85" s="53">
        <f t="shared" si="42"/>
        <v>0</v>
      </c>
      <c r="AC85" s="53">
        <f t="shared" si="42"/>
        <v>0</v>
      </c>
      <c r="AD85" s="53">
        <f t="shared" si="42"/>
        <v>0</v>
      </c>
      <c r="AE85" s="53">
        <f t="shared" si="42"/>
        <v>0</v>
      </c>
      <c r="AF85" s="53">
        <f>AF57</f>
        <v>0</v>
      </c>
      <c r="AG85" s="149">
        <f>SUM(C85:AF85)</f>
        <v>-86254.832923673384</v>
      </c>
    </row>
    <row r="86" spans="1:38" s="154" customFormat="1">
      <c r="A86" s="59" t="str">
        <f>languages!A206</f>
        <v>Liquidez (Final de Año)</v>
      </c>
      <c r="B86" s="59">
        <f>B80</f>
        <v>-3903.9999999999982</v>
      </c>
      <c r="C86" s="59">
        <f>IF(C41=$B$9,B86+C84+C79+SUM($C52:C52),B86+C84+C79)</f>
        <v>-3138.2666666666646</v>
      </c>
      <c r="D86" s="59">
        <f>IF(D41=$B$9,C86+D84+D79+SUM($C52:D52),C86+D84+D79)</f>
        <v>-2280.204202666665</v>
      </c>
      <c r="E86" s="59">
        <f>IF(E41=$B$9,D86+E84+E79+SUM($C52:E52),D86+E84+E79)</f>
        <v>-1318.9477494225043</v>
      </c>
      <c r="F86" s="59">
        <f>IF(F41=$B$9,E86+F84+F79+SUM($C52:F52),E86+F84+F79)</f>
        <v>-1981.3981712543366</v>
      </c>
      <c r="G86" s="59">
        <f>IF(G41=$B$9,F86+G84+G79+SUM($C52:G52),F86+G84+G79)</f>
        <v>-2534.967381253352</v>
      </c>
      <c r="H86" s="59">
        <f>IF(H41=$B$9,G86+H84+H79+SUM($C52:H52),G86+H84+H79)</f>
        <v>-2976.695625605832</v>
      </c>
      <c r="I86" s="59">
        <f>IF(I41=$B$9,H86+I84+I79+SUM($C52:I52),H86+I84+I79)</f>
        <v>-3303.542926593851</v>
      </c>
      <c r="J86" s="59">
        <f>IF(J41=$B$9,I86+J84+J79+SUM($C52:J52),I86+J84+J79)</f>
        <v>-3512.3869152879115</v>
      </c>
      <c r="K86" s="59">
        <f>IF(K41=$B$9,J86+K84+K79+SUM($C52:K52),J86+K84+K79)</f>
        <v>-3600.0206059094708</v>
      </c>
      <c r="L86" s="59">
        <f>IF(L41=$B$9,K86+L84+L79+SUM($C52:L52),K86+L84+L79)</f>
        <v>-3589.5435624913234</v>
      </c>
      <c r="M86" s="59">
        <f>IF(M41=$B$9,L86+M84+M79+SUM($C52:M52),L86+M84+M79)</f>
        <v>-3510.6226866035354</v>
      </c>
      <c r="N86" s="59">
        <f>IF(N41=$B$9,M86+N84+N79+SUM($C52:N52),M86+N84+N79)</f>
        <v>-3362.5125519323369</v>
      </c>
      <c r="O86" s="59">
        <f>IF(O41=$B$9,N86+O84+O79+SUM($C52:O52),N86+O84+O79)</f>
        <v>-3144.5160722846322</v>
      </c>
      <c r="P86" s="59">
        <f>IF(P41=$B$9,O86+P84+P79+SUM($C52:P52),O86+P84+P79)</f>
        <v>-2855.9900234405532</v>
      </c>
      <c r="Q86" s="59">
        <f>IF(Q41=$B$9,P86+Q84+Q79+SUM($C52:Q52),P86+Q84+Q79)</f>
        <v>-2496.3509730543306</v>
      </c>
      <c r="R86" s="59">
        <f>IF(R41=$B$9,Q86+R84+R79+SUM($C52:R52),Q86+R84+R79)</f>
        <v>-2065.0816455106242</v>
      </c>
      <c r="S86" s="59">
        <f>IF(S41=$B$9,R86+S84+S79+SUM($C52:S52),R86+S84+S79)</f>
        <v>-1561.737750344802</v>
      </c>
      <c r="T86" s="59">
        <f>IF(T41=$B$9,S86+T84+T79+SUM($C52:T52),S86+T84+T79)</f>
        <v>-985.95530464270405</v>
      </c>
      <c r="U86" s="59">
        <f>IF(U41=$B$9,T86+U84+U79+SUM($C52:U52),T86+U84+U79)</f>
        <v>-337.45848175482797</v>
      </c>
      <c r="V86" s="59">
        <f>IF(V41=$B$9,U86+V84+V79+SUM($C52:V52),U86+V84+V79)</f>
        <v>2088.7344478336604</v>
      </c>
      <c r="W86" s="59">
        <f>IF(W41=$B$9,V86+W84+W79+SUM($C52:W52),V86+W84+W79)</f>
        <v>7585.1296761205831</v>
      </c>
      <c r="X86" s="59">
        <f>IF(X41=$B$9,W86+X84+X79+SUM($C52:X52),W86+X84+X79)</f>
        <v>13217.191827269415</v>
      </c>
      <c r="Y86" s="59">
        <f>IF(Y41=$B$9,X86+Y84+Y79+SUM($C52:Y52),X86+Y84+Y79)</f>
        <v>18988.603857990423</v>
      </c>
      <c r="Z86" s="59">
        <f>IF(Z41=$B$9,Y86+Z84+Z79+SUM($C52:Z52),Y86+Z84+Z79)</f>
        <v>24903.148399490932</v>
      </c>
      <c r="AA86" s="59">
        <f>IF(AA41=$B$9,Z86+AA84+AA79+SUM($C52:AA52),Z86+AA84+AA79)</f>
        <v>30964.710445561352</v>
      </c>
      <c r="AB86" s="59">
        <f>IF(AB41=$B$9,AA86+AB84+AB79+SUM($C52:AB52),AA86+AB84+AB79)</f>
        <v>30964.710445561352</v>
      </c>
      <c r="AC86" s="59">
        <f>IF(AC41=$B$9,AB86+AC84+AC79+SUM($C52:AC52),AB86+AC84+AC79)</f>
        <v>30964.710445561352</v>
      </c>
      <c r="AD86" s="59">
        <f>IF(AD41=$B$9,AC86+AD84+AD79+SUM($C52:AD52),AC86+AD84+AD79)</f>
        <v>30964.710445561352</v>
      </c>
      <c r="AE86" s="59">
        <f>IF(AE41=$B$9,AD86+AE84+AE79+SUM($C52:AE52),AD86+AE84+AE79)</f>
        <v>30964.710445561352</v>
      </c>
      <c r="AF86" s="59">
        <f>IF(AF41=$B$9,AE86+AF84+AF79+SUM($C52:AF52),AE86+AF84+AF79)</f>
        <v>30964.710445561352</v>
      </c>
      <c r="AG86" s="152"/>
      <c r="AH86" s="152"/>
      <c r="AI86" s="152"/>
      <c r="AJ86" s="153"/>
      <c r="AK86" s="153"/>
      <c r="AL86" s="153"/>
    </row>
    <row r="87" spans="1:38" s="151" customFormat="1">
      <c r="A87" s="162" t="str">
        <f>languages!A214</f>
        <v>(Índice de Cobertura de Servicio de Deuda)</v>
      </c>
      <c r="B87" s="163"/>
      <c r="C87" s="214">
        <f>IF(C85=0,0,C83/-C85)</f>
        <v>0.26224941778163396</v>
      </c>
      <c r="D87" s="214">
        <f t="shared" ref="D87:V87" si="43">IF(D85=0,0,D83/-D85)</f>
        <v>0.29305412021857913</v>
      </c>
      <c r="E87" s="214">
        <f t="shared" si="43"/>
        <v>0.3282979690041532</v>
      </c>
      <c r="F87" s="214">
        <f t="shared" si="43"/>
        <v>0.23757724446887973</v>
      </c>
      <c r="G87" s="214">
        <f t="shared" si="43"/>
        <v>0.28425993810718564</v>
      </c>
      <c r="H87" s="214">
        <f t="shared" si="43"/>
        <v>0.33300823115764383</v>
      </c>
      <c r="I87" s="214">
        <f t="shared" si="43"/>
        <v>0.38392710638566968</v>
      </c>
      <c r="J87" s="214">
        <f t="shared" si="43"/>
        <v>0.43712739706824638</v>
      </c>
      <c r="K87" s="214">
        <f t="shared" si="43"/>
        <v>0.49272612997197252</v>
      </c>
      <c r="L87" s="214">
        <f t="shared" si="43"/>
        <v>0.54518026901173566</v>
      </c>
      <c r="M87" s="214">
        <f t="shared" si="43"/>
        <v>0.59319118504024315</v>
      </c>
      <c r="N87" s="214">
        <f t="shared" si="43"/>
        <v>0.6434065407980305</v>
      </c>
      <c r="O87" s="214">
        <f>IF(O85=0,0,O83/-O85)</f>
        <v>0.69594140929495807</v>
      </c>
      <c r="P87" s="214">
        <f t="shared" si="43"/>
        <v>0.75091737616207599</v>
      </c>
      <c r="Q87" s="214">
        <f t="shared" si="43"/>
        <v>0.80846292443040324</v>
      </c>
      <c r="R87" s="214">
        <f t="shared" si="43"/>
        <v>0.86871384252007577</v>
      </c>
      <c r="S87" s="214">
        <f t="shared" si="43"/>
        <v>0.93181365685335016</v>
      </c>
      <c r="T87" s="214">
        <f t="shared" si="43"/>
        <v>0.99791409059140701</v>
      </c>
      <c r="U87" s="214">
        <f t="shared" si="43"/>
        <v>1.0671755500866247</v>
      </c>
      <c r="V87" s="214">
        <f t="shared" si="43"/>
        <v>1.7926006049854073</v>
      </c>
      <c r="W87" s="214">
        <f t="shared" ref="W87:AE87" si="44">IF(W85=0,0,W83/-W85)</f>
        <v>0</v>
      </c>
      <c r="X87" s="214">
        <f t="shared" si="44"/>
        <v>0</v>
      </c>
      <c r="Y87" s="214">
        <f t="shared" si="44"/>
        <v>0</v>
      </c>
      <c r="Z87" s="214">
        <f t="shared" si="44"/>
        <v>0</v>
      </c>
      <c r="AA87" s="214">
        <f t="shared" si="44"/>
        <v>0</v>
      </c>
      <c r="AB87" s="214">
        <f t="shared" si="44"/>
        <v>0</v>
      </c>
      <c r="AC87" s="214">
        <f t="shared" si="44"/>
        <v>0</v>
      </c>
      <c r="AD87" s="214">
        <f t="shared" si="44"/>
        <v>0</v>
      </c>
      <c r="AE87" s="214">
        <f t="shared" si="44"/>
        <v>0</v>
      </c>
      <c r="AF87" s="214">
        <f>IF(AF85=0,0,AF83/-AF85)</f>
        <v>0</v>
      </c>
      <c r="AG87" s="149"/>
    </row>
    <row r="88" spans="1:38" s="165" customFormat="1">
      <c r="A88" s="239" t="str">
        <f>languages!A215</f>
        <v>Criterio DSCR (Índice de Cobertura de Servicio de Deuda)&gt; 1,x cumple?</v>
      </c>
      <c r="B88" s="240"/>
      <c r="C88" s="241" t="str">
        <f>IF(C85=0,0,IF(C87&gt;$B$14,languages!$A251,languages!$A250))</f>
        <v>No</v>
      </c>
      <c r="D88" s="241" t="str">
        <f>IF(D85=0,0,IF(D87&gt;$B$14,languages!$A251,languages!$A250))</f>
        <v>No</v>
      </c>
      <c r="E88" s="241" t="str">
        <f>IF(E85=0,0,IF(E87&gt;$B$14,languages!$A251,languages!$A250))</f>
        <v>No</v>
      </c>
      <c r="F88" s="241" t="str">
        <f>IF(F85=0,0,IF(F87&gt;$B$14,languages!$A251,languages!$A250))</f>
        <v>No</v>
      </c>
      <c r="G88" s="241" t="str">
        <f>IF(G85=0,0,IF(G87&gt;$B$14,languages!$A251,languages!$A250))</f>
        <v>No</v>
      </c>
      <c r="H88" s="241" t="str">
        <f>IF(H85=0,0,IF(H87&gt;$B$14,languages!$A251,languages!$A250))</f>
        <v>No</v>
      </c>
      <c r="I88" s="241" t="str">
        <f>IF(I85=0,0,IF(I87&gt;$B$14,languages!$A251,languages!$A250))</f>
        <v>No</v>
      </c>
      <c r="J88" s="241" t="str">
        <f>IF(J85=0,0,IF(J87&gt;$B$14,languages!$A251,languages!$A250))</f>
        <v>No</v>
      </c>
      <c r="K88" s="241" t="str">
        <f>IF(K85=0,0,IF(K87&gt;$B$14,languages!$A251,languages!$A250))</f>
        <v>No</v>
      </c>
      <c r="L88" s="241" t="str">
        <f>IF(L85=0,0,IF(L87&gt;$B$14,languages!$A251,languages!$A250))</f>
        <v>No</v>
      </c>
      <c r="M88" s="241" t="str">
        <f>IF(M85=0,0,IF(M87&gt;$B$14,languages!$A251,languages!$A250))</f>
        <v>No</v>
      </c>
      <c r="N88" s="241" t="str">
        <f>IF(N85=0,0,IF(N87&gt;$B$14,languages!$A251,languages!$A250))</f>
        <v>No</v>
      </c>
      <c r="O88" s="241" t="str">
        <f>IF(O85=0,0,IF(O87&gt;$B$14,languages!$A251,languages!$A250))</f>
        <v>No</v>
      </c>
      <c r="P88" s="241" t="str">
        <f>IF(P85=0,0,IF(P87&gt;$B$14,languages!$A251,languages!$A250))</f>
        <v>No</v>
      </c>
      <c r="Q88" s="241" t="str">
        <f>IF(Q85=0,0,IF(Q87&gt;$B$14,languages!$A251,languages!$A250))</f>
        <v>No</v>
      </c>
      <c r="R88" s="241" t="str">
        <f>IF(R85=0,0,IF(R87&gt;$B$14,languages!$A251,languages!$A250))</f>
        <v>No</v>
      </c>
      <c r="S88" s="241" t="str">
        <f>IF(S85=0,0,IF(S87&gt;$B$14,languages!$A251,languages!$A250))</f>
        <v>No</v>
      </c>
      <c r="T88" s="241" t="str">
        <f>IF(T85=0,0,IF(T87&gt;$B$14,languages!$A251,languages!$A250))</f>
        <v>No</v>
      </c>
      <c r="U88" s="241" t="str">
        <f>IF(U85=0,0,IF(U87&gt;$B$14,languages!$A251,languages!$A250))</f>
        <v>No</v>
      </c>
      <c r="V88" s="241" t="str">
        <f>IF(V85=0,0,IF(V87&gt;$B$14,languages!$A251,languages!$A250))</f>
        <v xml:space="preserve">Si </v>
      </c>
      <c r="W88" s="241">
        <f>IF(W85=0,0,IF(W87&gt;$B$14,languages!$A251,languages!$A250))</f>
        <v>0</v>
      </c>
      <c r="X88" s="241">
        <f>IF(X85=0,0,IF(X87&gt;$B$14,languages!$A251,languages!$A250))</f>
        <v>0</v>
      </c>
      <c r="Y88" s="241">
        <f>IF(Y85=0,0,IF(Y87&gt;$B$14,languages!$A251,languages!$A250))</f>
        <v>0</v>
      </c>
      <c r="Z88" s="241">
        <f>IF(Z85=0,0,IF(Z87&gt;$B$14,languages!$A251,languages!$A250))</f>
        <v>0</v>
      </c>
      <c r="AA88" s="241">
        <f>IF(AA85=0,0,IF(AA87&gt;$B$14,languages!$A251,languages!$A250))</f>
        <v>0</v>
      </c>
      <c r="AB88" s="241">
        <f>IF(AB85=0,0,IF(AB87&gt;$B$14,languages!$A251,languages!$A250))</f>
        <v>0</v>
      </c>
      <c r="AC88" s="241">
        <f>IF(AC85=0,0,IF(AC87&gt;$B$14,languages!$A251,languages!$A250))</f>
        <v>0</v>
      </c>
      <c r="AD88" s="241">
        <f>IF(AD85=0,0,IF(AD87&gt;$B$14,languages!$A251,languages!$A250))</f>
        <v>0</v>
      </c>
      <c r="AE88" s="241">
        <f>IF(AE85=0,0,IF(AE87&gt;$B$14,languages!$A251,languages!$A250))</f>
        <v>0</v>
      </c>
      <c r="AF88" s="241">
        <f>IF(AF85=0,0,IF(AF87&gt;$B$14,languages!$A251,languages!$A250))</f>
        <v>0</v>
      </c>
    </row>
    <row r="89" spans="1:38" s="180" customFormat="1" ht="11.25">
      <c r="A89" s="183" t="str">
        <f>languages!A216</f>
        <v>Tasa Interna de Retorno</v>
      </c>
      <c r="B89" s="184"/>
      <c r="C89" s="184">
        <f>IF($C84=0,0,IF(ISERROR(IRR($B$84:C84,0%)),"-",IRR($B$84:C84,0%)))</f>
        <v>-0.93723497267759559</v>
      </c>
      <c r="D89" s="184">
        <f>IF($C84=0,0,IF(ISERROR(IRR($B$84:D84,0%)),"-",IRR($B$84:D84,0%)))</f>
        <v>-0.7015634636839152</v>
      </c>
      <c r="E89" s="184">
        <f>IF($C84=0,0,IF(ISERROR(IRR($B$84:E84,0%)),"-",IRR($B$84:E84,0%)))</f>
        <v>-0.49259204051897343</v>
      </c>
      <c r="F89" s="184" t="str">
        <f>IF($C84=0,0,IF(ISERROR(IRR($B$84:F84,0%)),"-",IRR($B$84:F84,0%)))</f>
        <v>-</v>
      </c>
      <c r="G89" s="184" t="str">
        <f>IF($C84=0,0,IF(ISERROR(IRR($B$84:G84,0%)),"-",IRR($B$84:G84,0%)))</f>
        <v>-</v>
      </c>
      <c r="H89" s="184" t="str">
        <f>IF($C84=0,0,IF(ISERROR(IRR($B$84:H84,0%)),"-",IRR($B$84:H84,0%)))</f>
        <v>-</v>
      </c>
      <c r="I89" s="184" t="str">
        <f>IF($C84=0,0,IF(ISERROR(IRR($B$84:I84,0%)),"-",IRR($B$84:I84,0%)))</f>
        <v>-</v>
      </c>
      <c r="J89" s="184" t="str">
        <f>IF($C84=0,0,IF(ISERROR(IRR($B$84:J84,0%)),"-",IRR($B$84:J84,0%)))</f>
        <v>-</v>
      </c>
      <c r="K89" s="184" t="str">
        <f>IF($C84=0,0,IF(ISERROR(IRR($B$84:K84,0%)),"-",IRR($B$84:K84,0%)))</f>
        <v>-</v>
      </c>
      <c r="L89" s="184" t="str">
        <f>IF($C84=0,0,IF(ISERROR(IRR($B$84:L84,0%)),"-",IRR($B$84:L84,0%)))</f>
        <v>-</v>
      </c>
      <c r="M89" s="184" t="str">
        <f>IF($C84=0,0,IF(ISERROR(IRR($B$84:M84,0%)),"-",IRR($B$84:M84,0%)))</f>
        <v>-</v>
      </c>
      <c r="N89" s="184" t="str">
        <f>IF($C84=0,0,IF(ISERROR(IRR($B$84:N84,0%)),"-",IRR($B$84:N84,0%)))</f>
        <v>-</v>
      </c>
      <c r="O89" s="184" t="str">
        <f>IF($C84=0,0,IF(ISERROR(IRR($B$84:O84,0%)),"-",IRR($B$84:O84,0%)))</f>
        <v>-</v>
      </c>
      <c r="P89" s="184">
        <f>IF($C84=0,0,IF(ISERROR(IRR($B$84:P84,0%)),"-",IRR($B$84:P84,0%)))</f>
        <v>-0.21395616151065144</v>
      </c>
      <c r="Q89" s="184">
        <f>IF($C84=0,0,IF(ISERROR(IRR($B$84:Q84,0%)),"-",IRR($B$84:Q84,0%)))</f>
        <v>-0.17373109800932351</v>
      </c>
      <c r="R89" s="184">
        <f>IF($C84=0,0,IF(ISERROR(IRR($B$84:R84,0%)),"-",IRR($B$84:R84,0%)))</f>
        <v>-0.14253867293979083</v>
      </c>
      <c r="S89" s="184">
        <f>IF($C84=0,0,IF(ISERROR(IRR($B$84:S84,0%)),"-",IRR($B$84:S84,0%)))</f>
        <v>-0.11745096478004891</v>
      </c>
      <c r="T89" s="184">
        <f>IF($C84=0,0,IF(ISERROR(IRR($B$84:T84,0%)),"-",IRR($B$84:T84,0%)))</f>
        <v>-9.6778428290182461E-2</v>
      </c>
      <c r="U89" s="184">
        <f>IF($C84=0,0,IF(ISERROR(IRR($B$84:U84,0%)),"-",IRR($B$84:U84,0%)))</f>
        <v>-7.9445529154191452E-2</v>
      </c>
      <c r="V89" s="184">
        <f>IF($C84=0,0,IF(ISERROR(IRR($B$84:V84,0%)),"-",IRR($B$84:V84,0%)))</f>
        <v>-4.1836033198514144E-2</v>
      </c>
      <c r="W89" s="184">
        <f>IF($C84=0,0,IF(ISERROR(IRR($B$84:W84,0%)),"-",IRR($B$84:W84,0%)))</f>
        <v>-3.2747058801865236E-3</v>
      </c>
      <c r="X89" s="184">
        <f>IF($C84=0,0,IF(ISERROR(IRR($B$84:X84,0%)),"-",IRR($B$84:X84,0%)))</f>
        <v>1.7777554366475767E-2</v>
      </c>
      <c r="Y89" s="184">
        <f>IF($C84=0,0,IF(ISERROR(IRR($B$84:Y84,0%)),"-",IRR($B$84:Y84,0%)))</f>
        <v>3.2039293878578512E-2</v>
      </c>
      <c r="Z89" s="184">
        <f>IF($C84=0,0,IF(ISERROR(IRR($B$84:Z84,0%)),"-",IRR($B$84:Z84,0%)))</f>
        <v>4.2602855106064652E-2</v>
      </c>
      <c r="AA89" s="184">
        <f>IF($C84=0,0,IF(ISERROR(IRR($B$84:AA84,0%)),"-",IRR($B$84:AA84,0%)))</f>
        <v>5.0826777789444222E-2</v>
      </c>
      <c r="AB89" s="184">
        <f>IF($C84=0,0,IF(ISERROR(IRR($B$84:AB84,0%)),"-",IRR($B$84:AB84,0%)))</f>
        <v>5.0826777789444222E-2</v>
      </c>
      <c r="AC89" s="184">
        <f>IF($C84=0,0,IF(ISERROR(IRR($B$84:AC84,0%)),"-",IRR($B$84:AC84,0%)))</f>
        <v>5.0826777789444222E-2</v>
      </c>
      <c r="AD89" s="184">
        <f>IF($C84=0,0,IF(ISERROR(IRR($B$84:AD84,0%)),"-",IRR($B$84:AD84,0%)))</f>
        <v>5.0826777789444222E-2</v>
      </c>
      <c r="AE89" s="184">
        <f>IF($C84=0,0,IF(ISERROR(IRR($B$84:AE84,0%)),"-",IRR($B$84:AE84,0%)))</f>
        <v>5.0826777789444222E-2</v>
      </c>
      <c r="AF89" s="184">
        <f>IF($C84=0,0,IF(ISERROR(IRR($B$84:AF84,0%)),"-",IRR($B$84:AF84,0%)))</f>
        <v>5.0826777789444222E-2</v>
      </c>
    </row>
    <row r="90" spans="1:38" s="180" customFormat="1" ht="11.25">
      <c r="A90" s="183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</row>
    <row r="91" spans="1:38" s="180" customFormat="1">
      <c r="A91" s="166" t="str">
        <f>languages!A241</f>
        <v>Cálculo Tiempo Amortización</v>
      </c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</row>
    <row r="92" spans="1:38" s="180" customFormat="1" ht="25.5">
      <c r="A92" s="160" t="str">
        <f>languages!A242</f>
        <v>Resultado Operacional después de Impuestos más Depreciación (Flujo de Caja)</v>
      </c>
      <c r="B92" s="53"/>
      <c r="C92" s="53">
        <f>C83</f>
        <v>765.73333333333358</v>
      </c>
      <c r="D92" s="53">
        <f t="shared" ref="D92:V92" si="45">D83</f>
        <v>858.06246399999964</v>
      </c>
      <c r="E92" s="53">
        <f t="shared" si="45"/>
        <v>961.25645324416064</v>
      </c>
      <c r="F92" s="53">
        <f t="shared" si="45"/>
        <v>1106.5650631043209</v>
      </c>
      <c r="G92" s="53">
        <f t="shared" si="45"/>
        <v>1323.9993462034258</v>
      </c>
      <c r="H92" s="53">
        <f t="shared" si="45"/>
        <v>1551.0545850003982</v>
      </c>
      <c r="I92" s="53">
        <f t="shared" si="45"/>
        <v>1788.2197583984848</v>
      </c>
      <c r="J92" s="53">
        <f t="shared" si="45"/>
        <v>2036.0110952663767</v>
      </c>
      <c r="K92" s="53">
        <f t="shared" si="45"/>
        <v>2294.9736719292732</v>
      </c>
      <c r="L92" s="53">
        <f t="shared" si="45"/>
        <v>2539.2896534803663</v>
      </c>
      <c r="M92" s="53">
        <f t="shared" si="45"/>
        <v>2762.9104065686984</v>
      </c>
      <c r="N92" s="53">
        <f t="shared" si="45"/>
        <v>2996.7987927950167</v>
      </c>
      <c r="O92" s="53">
        <f t="shared" si="45"/>
        <v>3241.4907884591671</v>
      </c>
      <c r="P92" s="53">
        <f t="shared" si="45"/>
        <v>3497.5527037386923</v>
      </c>
      <c r="Q92" s="53">
        <f t="shared" si="45"/>
        <v>3765.5829748754363</v>
      </c>
      <c r="R92" s="53">
        <f>R83</f>
        <v>4046.2140644692254</v>
      </c>
      <c r="S92" s="53">
        <f t="shared" si="45"/>
        <v>4340.1144764622477</v>
      </c>
      <c r="T92" s="53">
        <f t="shared" si="45"/>
        <v>4647.990892800417</v>
      </c>
      <c r="U92" s="53">
        <f t="shared" si="45"/>
        <v>4970.5904391852655</v>
      </c>
      <c r="V92" s="53">
        <f t="shared" si="45"/>
        <v>5298.3234845193529</v>
      </c>
      <c r="W92" s="53">
        <f t="shared" ref="W92:AE92" si="46">W83</f>
        <v>5496.3952282869222</v>
      </c>
      <c r="X92" s="53">
        <f t="shared" si="46"/>
        <v>5632.0621511488316</v>
      </c>
      <c r="Y92" s="53">
        <f t="shared" si="46"/>
        <v>5771.4120307210096</v>
      </c>
      <c r="Z92" s="53">
        <f t="shared" si="46"/>
        <v>5914.5445415005088</v>
      </c>
      <c r="AA92" s="53">
        <f t="shared" si="46"/>
        <v>6061.5620460704185</v>
      </c>
      <c r="AB92" s="53">
        <f t="shared" si="46"/>
        <v>0</v>
      </c>
      <c r="AC92" s="53">
        <f t="shared" si="46"/>
        <v>0</v>
      </c>
      <c r="AD92" s="53">
        <f t="shared" si="46"/>
        <v>0</v>
      </c>
      <c r="AE92" s="53">
        <f t="shared" si="46"/>
        <v>0</v>
      </c>
      <c r="AF92" s="53">
        <f>AF83</f>
        <v>0</v>
      </c>
      <c r="AG92" s="149">
        <f>SUM(C92:AF92)</f>
        <v>83668.710445561359</v>
      </c>
    </row>
    <row r="93" spans="1:38" s="180" customFormat="1">
      <c r="A93" s="160" t="str">
        <f>languages!A243</f>
        <v>Flujo de Caja Acumulado</v>
      </c>
      <c r="B93" s="53">
        <f>-B21</f>
        <v>61000</v>
      </c>
      <c r="C93" s="53">
        <f>C92</f>
        <v>765.73333333333358</v>
      </c>
      <c r="D93" s="53">
        <f>C93+D92</f>
        <v>1623.7957973333332</v>
      </c>
      <c r="E93" s="53">
        <f t="shared" ref="E93:V93" si="47">D93+E92</f>
        <v>2585.0522505774939</v>
      </c>
      <c r="F93" s="53">
        <f t="shared" si="47"/>
        <v>3691.6173136818147</v>
      </c>
      <c r="G93" s="53">
        <f t="shared" si="47"/>
        <v>5015.6166598852406</v>
      </c>
      <c r="H93" s="53">
        <f t="shared" si="47"/>
        <v>6566.6712448856388</v>
      </c>
      <c r="I93" s="53">
        <f t="shared" si="47"/>
        <v>8354.8910032841231</v>
      </c>
      <c r="J93" s="53">
        <f t="shared" si="47"/>
        <v>10390.902098550499</v>
      </c>
      <c r="K93" s="53">
        <f t="shared" si="47"/>
        <v>12685.875770479772</v>
      </c>
      <c r="L93" s="53">
        <f t="shared" si="47"/>
        <v>15225.165423960138</v>
      </c>
      <c r="M93" s="53">
        <f t="shared" si="47"/>
        <v>17988.075830528836</v>
      </c>
      <c r="N93" s="53">
        <f t="shared" si="47"/>
        <v>20984.874623323853</v>
      </c>
      <c r="O93" s="53">
        <f t="shared" si="47"/>
        <v>24226.365411783019</v>
      </c>
      <c r="P93" s="53">
        <f t="shared" si="47"/>
        <v>27723.918115521712</v>
      </c>
      <c r="Q93" s="53">
        <f t="shared" si="47"/>
        <v>31489.501090397149</v>
      </c>
      <c r="R93" s="53">
        <f t="shared" si="47"/>
        <v>35535.715154866375</v>
      </c>
      <c r="S93" s="53">
        <f t="shared" si="47"/>
        <v>39875.829631328626</v>
      </c>
      <c r="T93" s="53">
        <f t="shared" si="47"/>
        <v>44523.820524129042</v>
      </c>
      <c r="U93" s="53">
        <f t="shared" si="47"/>
        <v>49494.410963314309</v>
      </c>
      <c r="V93" s="53">
        <f t="shared" si="47"/>
        <v>54792.73444783366</v>
      </c>
      <c r="W93" s="53">
        <f t="shared" ref="W93:AF93" si="48">V93+W92</f>
        <v>60289.129676120581</v>
      </c>
      <c r="X93" s="53">
        <f t="shared" si="48"/>
        <v>65921.191827269417</v>
      </c>
      <c r="Y93" s="53">
        <f t="shared" si="48"/>
        <v>71692.603857990427</v>
      </c>
      <c r="Z93" s="53">
        <f t="shared" si="48"/>
        <v>77607.148399490936</v>
      </c>
      <c r="AA93" s="53">
        <f t="shared" si="48"/>
        <v>83668.710445561359</v>
      </c>
      <c r="AB93" s="53">
        <f t="shared" si="48"/>
        <v>83668.710445561359</v>
      </c>
      <c r="AC93" s="53">
        <f t="shared" si="48"/>
        <v>83668.710445561359</v>
      </c>
      <c r="AD93" s="53">
        <f t="shared" si="48"/>
        <v>83668.710445561359</v>
      </c>
      <c r="AE93" s="53">
        <f t="shared" si="48"/>
        <v>83668.710445561359</v>
      </c>
      <c r="AF93" s="53">
        <f t="shared" si="48"/>
        <v>83668.710445561359</v>
      </c>
      <c r="AG93" s="62">
        <f>IF(B93&gt;MAX(C93:AF93),languages!A171,MATCH(B93,C93:AF93))</f>
        <v>21</v>
      </c>
      <c r="AH93" s="176" t="str">
        <f>languages!A169</f>
        <v>Años</v>
      </c>
    </row>
    <row r="94" spans="1:38" s="180" customFormat="1">
      <c r="A94" s="160" t="str">
        <f>languages!A244</f>
        <v>Tiempo de Amortización</v>
      </c>
      <c r="B94" s="53"/>
      <c r="C94" s="268">
        <f>IF(C93&gt;B93,B93/C93,0)</f>
        <v>0</v>
      </c>
      <c r="D94" s="53">
        <f t="shared" ref="D94:AF94" si="49">IF($AG$93=C41,($B$93-C93)/(D93-C93)*12,0)</f>
        <v>0</v>
      </c>
      <c r="E94" s="53">
        <f t="shared" si="49"/>
        <v>0</v>
      </c>
      <c r="F94" s="53">
        <f t="shared" si="49"/>
        <v>0</v>
      </c>
      <c r="G94" s="53">
        <f t="shared" si="49"/>
        <v>0</v>
      </c>
      <c r="H94" s="53">
        <f t="shared" si="49"/>
        <v>0</v>
      </c>
      <c r="I94" s="53">
        <f t="shared" si="49"/>
        <v>0</v>
      </c>
      <c r="J94" s="53">
        <f t="shared" si="49"/>
        <v>0</v>
      </c>
      <c r="K94" s="53">
        <f t="shared" si="49"/>
        <v>0</v>
      </c>
      <c r="L94" s="53">
        <f t="shared" si="49"/>
        <v>0</v>
      </c>
      <c r="M94" s="53">
        <f t="shared" si="49"/>
        <v>0</v>
      </c>
      <c r="N94" s="53">
        <f t="shared" si="49"/>
        <v>0</v>
      </c>
      <c r="O94" s="53">
        <f t="shared" si="49"/>
        <v>0</v>
      </c>
      <c r="P94" s="53">
        <f t="shared" si="49"/>
        <v>0</v>
      </c>
      <c r="Q94" s="53">
        <f t="shared" si="49"/>
        <v>0</v>
      </c>
      <c r="R94" s="53">
        <f t="shared" si="49"/>
        <v>0</v>
      </c>
      <c r="S94" s="53">
        <f t="shared" si="49"/>
        <v>0</v>
      </c>
      <c r="T94" s="53">
        <f t="shared" si="49"/>
        <v>0</v>
      </c>
      <c r="U94" s="53">
        <f t="shared" si="49"/>
        <v>0</v>
      </c>
      <c r="V94" s="53">
        <f t="shared" si="49"/>
        <v>0</v>
      </c>
      <c r="W94" s="53">
        <f t="shared" si="49"/>
        <v>0</v>
      </c>
      <c r="X94" s="53">
        <f t="shared" si="49"/>
        <v>1.514621759778161</v>
      </c>
      <c r="Y94" s="53">
        <f t="shared" si="49"/>
        <v>0</v>
      </c>
      <c r="Z94" s="53">
        <f t="shared" si="49"/>
        <v>0</v>
      </c>
      <c r="AA94" s="53">
        <f t="shared" si="49"/>
        <v>0</v>
      </c>
      <c r="AB94" s="53">
        <f t="shared" si="49"/>
        <v>0</v>
      </c>
      <c r="AC94" s="53">
        <f t="shared" si="49"/>
        <v>0</v>
      </c>
      <c r="AD94" s="53">
        <f t="shared" si="49"/>
        <v>0</v>
      </c>
      <c r="AE94" s="53">
        <f t="shared" si="49"/>
        <v>0</v>
      </c>
      <c r="AF94" s="53">
        <f t="shared" si="49"/>
        <v>0</v>
      </c>
      <c r="AG94" s="180">
        <f>ROUND(SUM(C94:AF94),0)</f>
        <v>2</v>
      </c>
      <c r="AH94" s="181" t="str">
        <f>languages!A170</f>
        <v>Mes(es)</v>
      </c>
    </row>
    <row r="95" spans="1:38" s="180" customFormat="1">
      <c r="A95" s="160" t="str">
        <f>languages!A245</f>
        <v>Flujo de Caja (Después de Intereses)</v>
      </c>
      <c r="B95" s="53"/>
      <c r="C95" s="53">
        <f>C92/(1+$B6)^C41</f>
        <v>696.12121212121224</v>
      </c>
      <c r="D95" s="53">
        <f t="shared" ref="D95:V95" si="50">D92/(1+$B6)^D41</f>
        <v>709.14253223140452</v>
      </c>
      <c r="E95" s="53">
        <f t="shared" si="50"/>
        <v>722.20620078449315</v>
      </c>
      <c r="F95" s="53">
        <f t="shared" si="50"/>
        <v>755.79882733714953</v>
      </c>
      <c r="G95" s="53">
        <f t="shared" si="50"/>
        <v>822.09942577408731</v>
      </c>
      <c r="H95" s="53">
        <f t="shared" si="50"/>
        <v>875.52987732310521</v>
      </c>
      <c r="I95" s="53">
        <f t="shared" si="50"/>
        <v>917.63948620273493</v>
      </c>
      <c r="J95" s="53">
        <f t="shared" si="50"/>
        <v>949.8142021306669</v>
      </c>
      <c r="K95" s="53">
        <f t="shared" si="50"/>
        <v>973.2928684927607</v>
      </c>
      <c r="L95" s="53">
        <f t="shared" si="50"/>
        <v>979.00608581719553</v>
      </c>
      <c r="M95" s="53">
        <f t="shared" si="50"/>
        <v>968.38324231598176</v>
      </c>
      <c r="N95" s="53">
        <f t="shared" si="50"/>
        <v>954.87244986168548</v>
      </c>
      <c r="O95" s="53">
        <f t="shared" si="50"/>
        <v>938.94441866121167</v>
      </c>
      <c r="P95" s="53">
        <f t="shared" si="50"/>
        <v>921.01494047713038</v>
      </c>
      <c r="Q95" s="53">
        <f t="shared" si="50"/>
        <v>901.45062542506162</v>
      </c>
      <c r="R95" s="53">
        <f t="shared" si="50"/>
        <v>880.57407007238191</v>
      </c>
      <c r="S95" s="53">
        <f t="shared" si="50"/>
        <v>858.66851158435622</v>
      </c>
      <c r="T95" s="53">
        <f t="shared" si="50"/>
        <v>835.98201748812858</v>
      </c>
      <c r="U95" s="53">
        <f t="shared" si="50"/>
        <v>812.73125593288046</v>
      </c>
      <c r="V95" s="53">
        <f t="shared" si="50"/>
        <v>787.56202518447844</v>
      </c>
      <c r="W95" s="53">
        <f t="shared" ref="W95:AE95" si="51">W92/(1+$B6)^W41</f>
        <v>742.73102526105311</v>
      </c>
      <c r="X95" s="53">
        <f t="shared" si="51"/>
        <v>691.87615818530924</v>
      </c>
      <c r="Y95" s="53">
        <f t="shared" si="51"/>
        <v>644.54066346247942</v>
      </c>
      <c r="Z95" s="53">
        <f t="shared" si="51"/>
        <v>600.47767144254476</v>
      </c>
      <c r="AA95" s="53">
        <f t="shared" si="51"/>
        <v>559.45791955427603</v>
      </c>
      <c r="AB95" s="53">
        <f t="shared" si="51"/>
        <v>0</v>
      </c>
      <c r="AC95" s="53">
        <f t="shared" si="51"/>
        <v>0</v>
      </c>
      <c r="AD95" s="53">
        <f t="shared" si="51"/>
        <v>0</v>
      </c>
      <c r="AE95" s="53">
        <f t="shared" si="51"/>
        <v>0</v>
      </c>
      <c r="AF95" s="53">
        <f>AF92/(1+$B6)^AF41</f>
        <v>0</v>
      </c>
      <c r="AG95" s="62"/>
    </row>
    <row r="96" spans="1:38" s="180" customFormat="1">
      <c r="A96" s="160" t="str">
        <f>languages!A246</f>
        <v>Flujo de Caja Acumulado (Después de Intereses)</v>
      </c>
      <c r="B96" s="53">
        <f>B93</f>
        <v>61000</v>
      </c>
      <c r="C96" s="53">
        <f>C95</f>
        <v>696.12121212121224</v>
      </c>
      <c r="D96" s="53">
        <f>C96+D95</f>
        <v>1405.2637443526169</v>
      </c>
      <c r="E96" s="53">
        <f t="shared" ref="E96:V96" si="52">D96+E95</f>
        <v>2127.4699451371098</v>
      </c>
      <c r="F96" s="53">
        <f t="shared" si="52"/>
        <v>2883.2687724742591</v>
      </c>
      <c r="G96" s="53">
        <f t="shared" si="52"/>
        <v>3705.3681982483463</v>
      </c>
      <c r="H96" s="53">
        <f t="shared" si="52"/>
        <v>4580.898075571451</v>
      </c>
      <c r="I96" s="53">
        <f t="shared" si="52"/>
        <v>5498.5375617741856</v>
      </c>
      <c r="J96" s="53">
        <f t="shared" si="52"/>
        <v>6448.3517639048523</v>
      </c>
      <c r="K96" s="53">
        <f t="shared" si="52"/>
        <v>7421.6446323976133</v>
      </c>
      <c r="L96" s="53">
        <f t="shared" si="52"/>
        <v>8400.6507182148089</v>
      </c>
      <c r="M96" s="53">
        <f t="shared" si="52"/>
        <v>9369.0339605307909</v>
      </c>
      <c r="N96" s="53">
        <f t="shared" si="52"/>
        <v>10323.906410392476</v>
      </c>
      <c r="O96" s="53">
        <f t="shared" si="52"/>
        <v>11262.850829053687</v>
      </c>
      <c r="P96" s="53">
        <f t="shared" si="52"/>
        <v>12183.865769530817</v>
      </c>
      <c r="Q96" s="53">
        <f t="shared" si="52"/>
        <v>13085.316394955878</v>
      </c>
      <c r="R96" s="53">
        <f t="shared" si="52"/>
        <v>13965.89046502826</v>
      </c>
      <c r="S96" s="53">
        <f t="shared" si="52"/>
        <v>14824.558976612616</v>
      </c>
      <c r="T96" s="53">
        <f t="shared" si="52"/>
        <v>15660.540994100744</v>
      </c>
      <c r="U96" s="53">
        <f t="shared" si="52"/>
        <v>16473.272250033624</v>
      </c>
      <c r="V96" s="53">
        <f t="shared" si="52"/>
        <v>17260.834275218102</v>
      </c>
      <c r="W96" s="53">
        <f t="shared" ref="W96:AF96" si="53">V96+W95</f>
        <v>18003.565300479153</v>
      </c>
      <c r="X96" s="53">
        <f t="shared" si="53"/>
        <v>18695.441458664463</v>
      </c>
      <c r="Y96" s="53">
        <f t="shared" si="53"/>
        <v>19339.982122126941</v>
      </c>
      <c r="Z96" s="53">
        <f t="shared" si="53"/>
        <v>19940.459793569487</v>
      </c>
      <c r="AA96" s="53">
        <f t="shared" si="53"/>
        <v>20499.917713123763</v>
      </c>
      <c r="AB96" s="53">
        <f t="shared" si="53"/>
        <v>20499.917713123763</v>
      </c>
      <c r="AC96" s="53">
        <f t="shared" si="53"/>
        <v>20499.917713123763</v>
      </c>
      <c r="AD96" s="53">
        <f t="shared" si="53"/>
        <v>20499.917713123763</v>
      </c>
      <c r="AE96" s="53">
        <f t="shared" si="53"/>
        <v>20499.917713123763</v>
      </c>
      <c r="AF96" s="53">
        <f t="shared" si="53"/>
        <v>20499.917713123763</v>
      </c>
      <c r="AG96" s="62" t="str">
        <f>IF(B96&gt;MAX(C96:AF96),languages!A171,MATCH(B96,C96:AF96))</f>
        <v>NO Rentable Económicamente</v>
      </c>
      <c r="AH96" s="176" t="str">
        <f>languages!A169</f>
        <v>Años</v>
      </c>
    </row>
    <row r="97" spans="1:35" s="180" customFormat="1">
      <c r="A97" s="160" t="str">
        <f>languages!A247</f>
        <v>Tiempo de Amortización Mensual</v>
      </c>
      <c r="B97" s="53"/>
      <c r="C97" s="268">
        <f>IF(C96&gt;B96,B96/C96,0)</f>
        <v>0</v>
      </c>
      <c r="D97" s="53">
        <f t="shared" ref="D97:AF97" si="54">IF($AG$96=C41,($B$96-C96)/(D96-C96)*12,0)</f>
        <v>0</v>
      </c>
      <c r="E97" s="53">
        <f t="shared" si="54"/>
        <v>0</v>
      </c>
      <c r="F97" s="53">
        <f t="shared" si="54"/>
        <v>0</v>
      </c>
      <c r="G97" s="53">
        <f t="shared" si="54"/>
        <v>0</v>
      </c>
      <c r="H97" s="53">
        <f t="shared" si="54"/>
        <v>0</v>
      </c>
      <c r="I97" s="53">
        <f t="shared" si="54"/>
        <v>0</v>
      </c>
      <c r="J97" s="53">
        <f t="shared" si="54"/>
        <v>0</v>
      </c>
      <c r="K97" s="53">
        <f t="shared" si="54"/>
        <v>0</v>
      </c>
      <c r="L97" s="53">
        <f t="shared" si="54"/>
        <v>0</v>
      </c>
      <c r="M97" s="53">
        <f t="shared" si="54"/>
        <v>0</v>
      </c>
      <c r="N97" s="53">
        <f t="shared" si="54"/>
        <v>0</v>
      </c>
      <c r="O97" s="53">
        <f t="shared" si="54"/>
        <v>0</v>
      </c>
      <c r="P97" s="53">
        <f t="shared" si="54"/>
        <v>0</v>
      </c>
      <c r="Q97" s="53">
        <f t="shared" si="54"/>
        <v>0</v>
      </c>
      <c r="R97" s="53">
        <f t="shared" si="54"/>
        <v>0</v>
      </c>
      <c r="S97" s="53">
        <f t="shared" si="54"/>
        <v>0</v>
      </c>
      <c r="T97" s="53">
        <f t="shared" si="54"/>
        <v>0</v>
      </c>
      <c r="U97" s="53">
        <f t="shared" si="54"/>
        <v>0</v>
      </c>
      <c r="V97" s="53">
        <f t="shared" si="54"/>
        <v>0</v>
      </c>
      <c r="W97" s="53">
        <f t="shared" si="54"/>
        <v>0</v>
      </c>
      <c r="X97" s="53">
        <f t="shared" si="54"/>
        <v>0</v>
      </c>
      <c r="Y97" s="53">
        <f t="shared" si="54"/>
        <v>0</v>
      </c>
      <c r="Z97" s="53">
        <f t="shared" si="54"/>
        <v>0</v>
      </c>
      <c r="AA97" s="53">
        <f t="shared" si="54"/>
        <v>0</v>
      </c>
      <c r="AB97" s="53">
        <f t="shared" si="54"/>
        <v>0</v>
      </c>
      <c r="AC97" s="53">
        <f t="shared" si="54"/>
        <v>0</v>
      </c>
      <c r="AD97" s="53">
        <f t="shared" si="54"/>
        <v>0</v>
      </c>
      <c r="AE97" s="53">
        <f t="shared" si="54"/>
        <v>0</v>
      </c>
      <c r="AF97" s="53">
        <f t="shared" si="54"/>
        <v>0</v>
      </c>
      <c r="AG97" s="180">
        <f>ROUND(SUM(C97:AF97),0)</f>
        <v>0</v>
      </c>
      <c r="AH97" s="181" t="str">
        <f>languages!A170</f>
        <v>Mes(es)</v>
      </c>
    </row>
    <row r="98" spans="1:35" s="180" customFormat="1" ht="11.25">
      <c r="A98" s="183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</row>
    <row r="99" spans="1:35" s="180" customFormat="1" ht="11.25">
      <c r="A99" s="183" t="str">
        <f>languages!A248</f>
        <v>Valor Presente Neto de acuerdo a Inversión Total</v>
      </c>
      <c r="B99" s="269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</row>
    <row r="100" spans="1:35" s="180" customFormat="1">
      <c r="A100" s="183" t="str">
        <f>languages!A249</f>
        <v>Flujo de Caja Sin Financiamiento</v>
      </c>
      <c r="B100" s="54">
        <f>B21</f>
        <v>-61000</v>
      </c>
      <c r="C100" s="452">
        <f>C60+C51+C68</f>
        <v>3685.6000000000004</v>
      </c>
      <c r="D100" s="452">
        <f t="shared" ref="D100:AF100" si="55">D60+D51+D68</f>
        <v>3786.0624639999996</v>
      </c>
      <c r="E100" s="452">
        <f t="shared" si="55"/>
        <v>3889.2564532441606</v>
      </c>
      <c r="F100" s="452">
        <f t="shared" si="55"/>
        <v>3995.2560246678022</v>
      </c>
      <c r="G100" s="452">
        <f t="shared" si="55"/>
        <v>4104.1372365006191</v>
      </c>
      <c r="H100" s="452">
        <f t="shared" si="55"/>
        <v>4215.9782021471547</v>
      </c>
      <c r="I100" s="452">
        <f t="shared" si="55"/>
        <v>4330.8591455116157</v>
      </c>
      <c r="J100" s="452">
        <f t="shared" si="55"/>
        <v>4448.8624578055742</v>
      </c>
      <c r="K100" s="452">
        <f t="shared" si="55"/>
        <v>4570.0727558780754</v>
      </c>
      <c r="L100" s="452">
        <f t="shared" si="55"/>
        <v>4668.183489917782</v>
      </c>
      <c r="M100" s="452">
        <f t="shared" si="55"/>
        <v>4736.6273223874232</v>
      </c>
      <c r="N100" s="452">
        <f t="shared" si="55"/>
        <v>4805.8165811708332</v>
      </c>
      <c r="O100" s="452">
        <f t="shared" si="55"/>
        <v>4875.7029261473399</v>
      </c>
      <c r="P100" s="452">
        <f t="shared" si="55"/>
        <v>4946.2324953437137</v>
      </c>
      <c r="Q100" s="452">
        <f t="shared" si="55"/>
        <v>5017.3454968858578</v>
      </c>
      <c r="R100" s="452">
        <f t="shared" si="55"/>
        <v>5088.9757740433406</v>
      </c>
      <c r="S100" s="452">
        <f t="shared" si="55"/>
        <v>5161.0503416654574</v>
      </c>
      <c r="T100" s="452">
        <f t="shared" si="55"/>
        <v>5233.4888922017326</v>
      </c>
      <c r="U100" s="452">
        <f t="shared" si="55"/>
        <v>5306.2032693875108</v>
      </c>
      <c r="V100" s="452">
        <f t="shared" si="55"/>
        <v>5381.8560426010408</v>
      </c>
      <c r="W100" s="452">
        <f t="shared" si="55"/>
        <v>5496.3952282869222</v>
      </c>
      <c r="X100" s="452">
        <f t="shared" si="55"/>
        <v>5632.0621511488316</v>
      </c>
      <c r="Y100" s="452">
        <f t="shared" si="55"/>
        <v>5771.4120307210096</v>
      </c>
      <c r="Z100" s="452">
        <f t="shared" si="55"/>
        <v>5914.5445415005088</v>
      </c>
      <c r="AA100" s="452">
        <f t="shared" si="55"/>
        <v>6061.5620460704185</v>
      </c>
      <c r="AB100" s="452">
        <f t="shared" si="55"/>
        <v>0</v>
      </c>
      <c r="AC100" s="452">
        <f t="shared" si="55"/>
        <v>0</v>
      </c>
      <c r="AD100" s="452">
        <f t="shared" si="55"/>
        <v>0</v>
      </c>
      <c r="AE100" s="452">
        <f t="shared" si="55"/>
        <v>0</v>
      </c>
      <c r="AF100" s="452">
        <f t="shared" si="55"/>
        <v>0</v>
      </c>
    </row>
    <row r="101" spans="1:35" s="151" customFormat="1">
      <c r="A101" s="166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149"/>
    </row>
    <row r="102" spans="1:35" s="151" customFormat="1">
      <c r="A102" s="167"/>
      <c r="B102" s="167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149"/>
    </row>
    <row r="103" spans="1:35">
      <c r="A103" s="168" t="str">
        <f>languages!A217</f>
        <v>Periodo Amortización Sencillo</v>
      </c>
      <c r="B103" s="270" t="str">
        <f>IF(C93=0,0,IF(C93&gt;B93,CONCATENATE(ROUND(C94,2)," ",languages!A$169),CONCATENATE(AG93," ",languages!A$169," &amp; ",AG94," ",languages!A$170)))</f>
        <v>21 Años &amp; 2 Mes(es)</v>
      </c>
      <c r="C103" s="137"/>
      <c r="D103" s="210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</row>
    <row r="104" spans="1:35">
      <c r="A104" s="168" t="str">
        <f>languages!A218</f>
        <v>Periodo Amortazión Descontado</v>
      </c>
      <c r="B104" s="270" t="str">
        <f>IF(B9=0,0,IF(C96&gt;B96,CONCATENATE(ROUND(C97,2)," ",languages!A$169),CONCATENATE(AG96," ",languages!A$169," &amp; ",AG97," ",languages!A$170)))</f>
        <v>NO Rentable Económicamente Años &amp; 0 Mes(es)</v>
      </c>
      <c r="C104" s="137"/>
      <c r="E104" s="137"/>
      <c r="F104" s="137"/>
      <c r="G104" s="137"/>
      <c r="H104" s="137"/>
      <c r="I104" s="137"/>
      <c r="J104" s="137"/>
      <c r="K104" s="137"/>
      <c r="L104" s="137"/>
      <c r="M104" s="137"/>
      <c r="AG104" s="137"/>
    </row>
    <row r="105" spans="1:35">
      <c r="A105" s="168" t="str">
        <f>languages!A219</f>
        <v>Tasa Interna de Retorno</v>
      </c>
      <c r="B105" s="455">
        <f>IF(B9=0,0,IFERROR(HLOOKUP(B9,C41:AF89,49,FALSE),languages!A171))</f>
        <v>5.0826777789444222E-2</v>
      </c>
      <c r="E105" s="137"/>
      <c r="F105" s="137"/>
      <c r="G105" s="137"/>
      <c r="H105" s="137"/>
      <c r="I105" s="137"/>
      <c r="J105" s="137"/>
      <c r="K105" s="137"/>
      <c r="L105" s="137"/>
      <c r="M105" s="137"/>
    </row>
    <row r="106" spans="1:35">
      <c r="A106" s="168" t="str">
        <f>languages!A220</f>
        <v>Valor Presente Neto</v>
      </c>
      <c r="B106" s="271">
        <f>NPV(B6,C100:AF100)+B21</f>
        <v>-20821.74384951064</v>
      </c>
      <c r="C106" s="175"/>
      <c r="E106" s="169"/>
      <c r="F106" s="169"/>
      <c r="G106" s="169"/>
      <c r="H106" s="169"/>
      <c r="I106" s="169"/>
      <c r="J106" s="169"/>
      <c r="K106" s="169"/>
    </row>
    <row r="107" spans="1:35">
      <c r="E107" s="170"/>
      <c r="F107" s="137"/>
      <c r="G107" s="137"/>
      <c r="H107" s="137"/>
      <c r="I107" s="137"/>
      <c r="J107" s="137"/>
      <c r="K107" s="137"/>
      <c r="L107" s="137"/>
      <c r="M107" s="137"/>
    </row>
    <row r="108" spans="1:35">
      <c r="A108" s="208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</row>
    <row r="109" spans="1:35">
      <c r="A109" s="171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</row>
    <row r="110" spans="1:35">
      <c r="A110" s="171"/>
      <c r="E110" s="170"/>
      <c r="F110" s="130"/>
      <c r="G110" s="130"/>
      <c r="H110" s="130"/>
      <c r="I110" s="130"/>
      <c r="J110" s="130"/>
      <c r="K110" s="130"/>
      <c r="L110" s="130"/>
      <c r="M110" s="130"/>
      <c r="AG110" s="150"/>
      <c r="AH110" s="150"/>
      <c r="AI110" s="150"/>
    </row>
    <row r="111" spans="1:35">
      <c r="B111" s="167"/>
      <c r="E111" s="170"/>
      <c r="F111" s="130"/>
      <c r="G111" s="130"/>
      <c r="H111" s="130"/>
      <c r="I111" s="130"/>
      <c r="J111" s="130"/>
      <c r="K111" s="130"/>
      <c r="L111" s="130"/>
      <c r="M111" s="130"/>
    </row>
    <row r="112" spans="1:35">
      <c r="B112" s="167"/>
      <c r="E112" s="172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</row>
    <row r="113" spans="3:33">
      <c r="C113" s="150"/>
      <c r="E113" s="170"/>
    </row>
    <row r="114" spans="3:33">
      <c r="E114" s="170"/>
    </row>
    <row r="115" spans="3:33">
      <c r="E115" s="170"/>
    </row>
    <row r="116" spans="3:33">
      <c r="E116" s="170"/>
    </row>
    <row r="117" spans="3:33">
      <c r="E117" s="170"/>
    </row>
    <row r="118" spans="3:33">
      <c r="E118" s="170"/>
    </row>
    <row r="119" spans="3:33">
      <c r="C119" s="174"/>
      <c r="D119" s="150"/>
      <c r="E119" s="17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</row>
    <row r="120" spans="3:33">
      <c r="D120" s="174"/>
      <c r="E120" s="170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50"/>
    </row>
    <row r="121" spans="3:33">
      <c r="E121" s="170"/>
      <c r="AG121" s="174"/>
    </row>
  </sheetData>
  <phoneticPr fontId="9" type="noConversion"/>
  <dataValidations count="16">
    <dataValidation type="whole" operator="greaterThan" allowBlank="1" showInputMessage="1" showErrorMessage="1" error="Please insert a positiv integer number" sqref="B22">
      <formula1>0</formula1>
    </dataValidation>
    <dataValidation type="decimal" allowBlank="1" showInputMessage="1" showErrorMessage="1" error="Please insert a percentage between 0 and 50%" sqref="B6:B8 B35:B36 B38">
      <formula1>0</formula1>
      <formula2>0.5</formula2>
    </dataValidation>
    <dataValidation type="whole" allowBlank="1" showInputMessage="1" showErrorMessage="1" error="Please insert an integer number between 1 -15" sqref="B31:B32">
      <formula1>1</formula1>
      <formula2>15</formula2>
    </dataValidation>
    <dataValidation type="decimal" allowBlank="1" showInputMessage="1" showErrorMessage="1" error="Please insert a percentage between 0 and 100%" sqref="B28">
      <formula1>0</formula1>
      <formula2>1</formula2>
    </dataValidation>
    <dataValidation type="whole" allowBlank="1" showInputMessage="1" showErrorMessage="1" error="Please insert an integer number between 0 -5" sqref="B33">
      <formula1>0</formula1>
      <formula2>5</formula2>
    </dataValidation>
    <dataValidation type="decimal" allowBlank="1" showInputMessage="1" showErrorMessage="1" error="Please insert a decimal number between 1 -3" sqref="B27 B23 B14:B15">
      <formula1>1</formula1>
      <formula2>3</formula2>
    </dataValidation>
    <dataValidation type="decimal" allowBlank="1" showInputMessage="1" showErrorMessage="1" error="Please insert a percentage between 0 and 70%" sqref="B10">
      <formula1>0</formula1>
      <formula2>0.7</formula2>
    </dataValidation>
    <dataValidation type="decimal" allowBlank="1" showInputMessage="1" showErrorMessage="1" error="Please insert a percentage between 0 and 30%" sqref="B12">
      <formula1>0</formula1>
      <formula2>0.3</formula2>
    </dataValidation>
    <dataValidation type="whole" allowBlank="1" showInputMessage="1" showErrorMessage="1" error="Please insert an integer number between 0 and 1 Mio" sqref="B11">
      <formula1>0</formula1>
      <formula2>1000000</formula2>
    </dataValidation>
    <dataValidation type="whole" allowBlank="1" showInputMessage="1" showErrorMessage="1" error="Please insert a year between 1900 - 2100" sqref="B5">
      <formula1>1900</formula1>
      <formula2>2100</formula2>
    </dataValidation>
    <dataValidation type="whole" allowBlank="1" showInputMessage="1" showErrorMessage="1" error="Please insert an integer number between 2 - 20" sqref="B9">
      <formula1>2</formula1>
      <formula2>20</formula2>
    </dataValidation>
    <dataValidation type="whole" operator="lessThanOrEqual" allowBlank="1" showInputMessage="1" showErrorMessage="1" error="Please insert a negativ  integer number for costs" sqref="B17:B19">
      <formula1>0</formula1>
    </dataValidation>
    <dataValidation type="whole" operator="lessThanOrEqual" allowBlank="1" showInputMessage="1" showErrorMessage="1" error="Please enter a negativ integer number for costs" sqref="B46 B48">
      <formula1>0</formula1>
    </dataValidation>
    <dataValidation type="whole" operator="greaterThanOrEqual" allowBlank="1" showInputMessage="1" showErrorMessage="1" error="Please insert a positiv integer number" sqref="B20">
      <formula1>0</formula1>
    </dataValidation>
    <dataValidation type="whole" allowBlank="1" showInputMessage="1" showErrorMessage="1" error="Please insert a percentage between 0 and 50%" sqref="B37">
      <formula1>1</formula1>
      <formula2>12</formula2>
    </dataValidation>
    <dataValidation type="decimal" allowBlank="1" showInputMessage="1" showErrorMessage="1" sqref="C60:AF60">
      <formula1>0</formula1>
      <formula2>99999999999999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21" orientation="landscape" horizontalDpi="4294967292" verticalDpi="4294967292" r:id="rId1"/>
  <headerFooter alignWithMargins="0">
    <oddHeader>&amp;L&amp;G&amp;C&amp;"-,Negrita"&amp;18&amp;G
&amp;R&amp;G</oddHeader>
  </headerFooter>
  <rowBreaks count="1" manualBreakCount="1">
    <brk id="33" max="16383" man="1"/>
  </rowBreaks>
  <colBreaks count="1" manualBreakCount="1">
    <brk id="1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DC249"/>
  <sheetViews>
    <sheetView topLeftCell="A82" zoomScale="90" zoomScaleNormal="90" workbookViewId="0">
      <pane xSplit="1" topLeftCell="B1" activePane="topRight" state="frozen"/>
      <selection activeCell="A95" sqref="A95"/>
      <selection pane="topRight" activeCell="B89" sqref="B89"/>
    </sheetView>
  </sheetViews>
  <sheetFormatPr baseColWidth="10" defaultColWidth="0" defaultRowHeight="12.75" zeroHeight="1" outlineLevelRow="1"/>
  <cols>
    <col min="1" max="1" width="46.5" style="3" customWidth="1"/>
    <col min="2" max="2" width="22.5" style="3" customWidth="1"/>
    <col min="3" max="3" width="17.5" style="3" customWidth="1"/>
    <col min="4" max="4" width="17.125" style="3" customWidth="1"/>
    <col min="5" max="12" width="15.75" style="3" bestFit="1" customWidth="1"/>
    <col min="13" max="13" width="15.25" style="3" customWidth="1"/>
    <col min="14" max="14" width="15.75" style="3" customWidth="1"/>
    <col min="15" max="15" width="17" style="3" customWidth="1"/>
    <col min="16" max="16" width="15.25" style="3" customWidth="1"/>
    <col min="17" max="17" width="18.125" style="3" customWidth="1"/>
    <col min="18" max="21" width="14.375" style="3" bestFit="1" customWidth="1"/>
    <col min="22" max="32" width="14.5" style="3" customWidth="1"/>
    <col min="33" max="33" width="13.5" style="3" customWidth="1"/>
    <col min="34" max="34" width="11" style="3" customWidth="1"/>
    <col min="35" max="16384" width="11" style="3" hidden="1"/>
  </cols>
  <sheetData>
    <row r="1" spans="1:32" s="2" customFormat="1"/>
    <row r="2" spans="1:32" s="55" customFormat="1" ht="18">
      <c r="A2" s="744" t="str">
        <f>'Calc A'!A2</f>
        <v>Nombre del Proyecto</v>
      </c>
      <c r="B2" s="932">
        <f>'Calc A'!B2</f>
        <v>0</v>
      </c>
      <c r="C2" s="933"/>
      <c r="D2" s="933"/>
      <c r="E2" s="934"/>
    </row>
    <row r="3" spans="1:32" s="143" customFormat="1"/>
    <row r="4" spans="1:32" s="135" customFormat="1">
      <c r="A4" s="133" t="str">
        <f>'Calc A'!A4</f>
        <v>Supuestos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</row>
    <row r="5" spans="1:32" s="143" customFormat="1">
      <c r="A5" s="248" t="str">
        <f>'Calc A'!A5</f>
        <v>Año Inicio Proyecto</v>
      </c>
      <c r="B5" s="710">
        <f>'Calc A'!B5</f>
        <v>2015</v>
      </c>
    </row>
    <row r="6" spans="1:32" s="143" customFormat="1">
      <c r="A6" s="177" t="str">
        <f>'Calc A'!A6</f>
        <v>Tasa de Descuento (%)</v>
      </c>
      <c r="B6" s="721">
        <f>IF('Calc A'!B6="",0,IF('Calc A'!B6="","",'Calc A'!B6)*IF('Input sensitivity'!D7=1,0.95,1)*IF('Input sensitivity'!C7=1,0.9,1)*IF('Input sensitivity'!B7=1,0.85,1)*IF('Input sensitivity'!G7=1,1.05,1)*IF('Input sensitivity'!H7=1,1.1,1)*IF('Input sensitivity'!I7=1,1.15,1))</f>
        <v>0.1</v>
      </c>
    </row>
    <row r="7" spans="1:32" s="143" customFormat="1">
      <c r="A7" s="248" t="str">
        <f>'Calc A'!A7</f>
        <v>Tasa de Inflación (%)</v>
      </c>
      <c r="B7" s="709">
        <f>'Calc A'!B7</f>
        <v>0.03</v>
      </c>
      <c r="K7" s="142"/>
      <c r="L7" s="142"/>
      <c r="M7" s="142"/>
    </row>
    <row r="8" spans="1:32" s="143" customFormat="1">
      <c r="A8" s="722" t="str">
        <f>'Calc A'!A8</f>
        <v>Incremento Precio Energía (%)</v>
      </c>
      <c r="B8" s="255">
        <f>IF('Calc A'!B8="",0,IF('Calc A'!B8="",0,IF('Calc A'!B8="","",'Calc A'!B8)*IF('Input sensitivity'!D10=1,0.95,1)*IF('Input sensitivity'!C10=1,0.9,1)*IF('Input sensitivity'!B10=1,0.85,1)*IF('Input sensitivity'!G10=1,1.05,1)*IF('Input sensitivity'!H10=1,1.1,1)*IF('Input sensitivity'!I10=1,1.15,1)))</f>
        <v>0.03</v>
      </c>
    </row>
    <row r="9" spans="1:32" s="143" customFormat="1">
      <c r="A9" s="248" t="str">
        <f>'Calc A'!A9</f>
        <v>Vida Útil Equipos/Planta (en años)</v>
      </c>
      <c r="B9" s="710">
        <f>'Calc A'!B9</f>
        <v>25</v>
      </c>
    </row>
    <row r="10" spans="1:32" s="143" customFormat="1">
      <c r="A10" s="714" t="str">
        <f>'Calc A'!A10</f>
        <v>Tasa de Impuesto (%)</v>
      </c>
      <c r="B10" s="717">
        <f>'Calc A'!B10</f>
        <v>0.21</v>
      </c>
    </row>
    <row r="11" spans="1:32" s="143" customFormat="1">
      <c r="A11" s="245" t="str">
        <f>'Calc A'!A11</f>
        <v>Utilidad Libre de Impuestos</v>
      </c>
      <c r="B11" s="711">
        <f>'Calc A'!B11</f>
        <v>0</v>
      </c>
    </row>
    <row r="12" spans="1:32" s="143" customFormat="1">
      <c r="A12" s="139" t="str">
        <f>'Calc A'!A12</f>
        <v>Provisiones para Desmantelamiento (% de la Inversion)</v>
      </c>
      <c r="B12" s="186">
        <f>'Calc A'!B12</f>
        <v>0</v>
      </c>
    </row>
    <row r="13" spans="1:32" s="143" customFormat="1" ht="25.5">
      <c r="A13" s="247" t="str">
        <f>'Calc A'!A13</f>
        <v>Provisiones para Desmantelamiento (Costo por Años de Vida Util -1 Año)</v>
      </c>
      <c r="B13" s="711">
        <f>'Calc A'!B13</f>
        <v>0</v>
      </c>
    </row>
    <row r="14" spans="1:32" s="143" customFormat="1">
      <c r="A14" s="140" t="str">
        <f>'Calc A'!A14</f>
        <v>Indice de Corbertura Servicio de Deuda</v>
      </c>
      <c r="B14" s="187">
        <f>'Calc A'!B14</f>
        <v>1.4</v>
      </c>
    </row>
    <row r="15" spans="1:32" s="143" customFormat="1">
      <c r="A15" s="144"/>
      <c r="B15" s="185"/>
    </row>
    <row r="16" spans="1:32" s="135" customFormat="1">
      <c r="A16" s="133" t="str">
        <f>'Calc A'!A16</f>
        <v>Costos Inversión Inicial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</row>
    <row r="17" spans="1:93" s="143" customFormat="1">
      <c r="A17" s="719" t="str">
        <f>'Calc A'!A17</f>
        <v>Costos Inversión Inicial</v>
      </c>
      <c r="B17" s="724">
        <f>'Calc A'!B17*IF('Input sensitivity'!$D$28=1,0.9,1)*IF('Input sensitivity'!$C$28=1,0.8,1)*IF('Input sensitivity'!$B$28=1,0.7,1)*IF('Input sensitivity'!$G$28=1,1.1,1)*IF('Input sensitivity'!$H$28=1,1.2,1)*IF('Input sensitivity'!$I$28=1,1.3,1)</f>
        <v>-61000</v>
      </c>
    </row>
    <row r="18" spans="1:93" s="143" customFormat="1">
      <c r="A18" s="52" t="str">
        <f>'Calc A'!A18</f>
        <v>Costos Desarrollo Proyecto</v>
      </c>
      <c r="B18" s="52">
        <f>'Calc A'!B18</f>
        <v>0</v>
      </c>
    </row>
    <row r="19" spans="1:93" s="143" customFormat="1">
      <c r="A19" s="719" t="str">
        <f>'Calc A'!A19</f>
        <v>Necesidad Liquidez al Inicio del Proyecto</v>
      </c>
      <c r="B19" s="719">
        <f>'Calc A'!B19</f>
        <v>0</v>
      </c>
    </row>
    <row r="20" spans="1:93" s="130" customFormat="1">
      <c r="A20" s="52" t="str">
        <f>'Calc A'!A20</f>
        <v>Subsidios al Inicio del Proyecto</v>
      </c>
      <c r="B20" s="52">
        <f>'Calc A'!B20</f>
        <v>0</v>
      </c>
      <c r="C20" s="143"/>
      <c r="D20" s="143"/>
      <c r="E20" s="143"/>
      <c r="F20" s="143"/>
      <c r="G20" s="143"/>
      <c r="H20" s="143"/>
      <c r="I20" s="143"/>
      <c r="J20" s="143"/>
      <c r="K20" s="143"/>
      <c r="L20" s="137"/>
      <c r="M20" s="137"/>
      <c r="N20" s="137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</row>
    <row r="21" spans="1:93" s="143" customFormat="1">
      <c r="A21" s="719" t="str">
        <f>'Calc A'!A21</f>
        <v>Costos Totales</v>
      </c>
      <c r="B21" s="719">
        <f>SUM(B17:B20)</f>
        <v>-61000</v>
      </c>
      <c r="D21" s="130"/>
    </row>
    <row r="22" spans="1:93" s="143" customFormat="1">
      <c r="A22" s="52" t="str">
        <f>'Calc A'!A22</f>
        <v>Valor Residual (después de vida útil)</v>
      </c>
      <c r="B22" s="52">
        <f>'Calc A'!B22</f>
        <v>0</v>
      </c>
    </row>
    <row r="23" spans="1:93" s="143" customFormat="1">
      <c r="A23" s="144"/>
      <c r="B23" s="185"/>
    </row>
    <row r="24" spans="1:93" s="135" customFormat="1">
      <c r="A24" s="133" t="str">
        <f>'Calc A'!A24</f>
        <v>Ingresos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</row>
    <row r="25" spans="1:93" s="130" customFormat="1">
      <c r="A25" s="243" t="str">
        <f>'Calc A'!A25</f>
        <v>Ingresos por Venta/Ahorro Electricidad</v>
      </c>
      <c r="B25" s="244">
        <f>'Calc A'!B25*IF('Input sensitivity'!D13=1,0.95,1)*IF('Input sensitivity'!C13=1,0.9,1)*IF('Input sensitivity'!B13=1,0.85,1)*IF('Input sensitivity'!G13=1,1.05,1)*IF('Input sensitivity'!H13=1,1.1,1)*IF('Input sensitivity'!I13=1,1.15,1)</f>
        <v>4905.6000000000004</v>
      </c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</row>
    <row r="26" spans="1:93" s="130" customFormat="1">
      <c r="A26" s="142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</row>
    <row r="27" spans="1:93" s="135" customFormat="1">
      <c r="A27" s="133" t="str">
        <f>'Calc A'!A27</f>
        <v>Financiamiento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</row>
    <row r="28" spans="1:93" s="143" customFormat="1">
      <c r="A28" s="725" t="str">
        <f>'Calc A'!A28</f>
        <v>Tasa Endeudamiento</v>
      </c>
      <c r="B28" s="726">
        <f>IF('Calc A'!B28="","",'Calc A'!B28)*IF('Input sensitivity'!D25=1,0.9,1)*IF('Input sensitivity'!C25=1,0.8,1)*IF('Input sensitivity'!B25=1,0.7,1)*IF('Input sensitivity'!G25=1,1.1,1)*IF('Input sensitivity'!H25=1,1.2,1)*IF('Input sensitivity'!I25=1,1.3,1)</f>
        <v>0.8</v>
      </c>
    </row>
    <row r="29" spans="1:93" s="143" customFormat="1">
      <c r="A29" s="715" t="str">
        <f>'Calc A'!A29</f>
        <v>Capital Externo</v>
      </c>
      <c r="B29" s="164">
        <f>B21*B28</f>
        <v>-48800</v>
      </c>
    </row>
    <row r="30" spans="1:93" s="143" customFormat="1">
      <c r="A30" s="727" t="str">
        <f>'Calc A'!A30</f>
        <v xml:space="preserve">Capital Propio </v>
      </c>
      <c r="B30" s="728">
        <f>B21-B29</f>
        <v>-12200</v>
      </c>
    </row>
    <row r="31" spans="1:93" s="143" customFormat="1">
      <c r="A31" s="715" t="str">
        <f>'Calc A'!A31</f>
        <v>Plazo Crédito (en Años)</v>
      </c>
      <c r="B31" s="716">
        <f>'Calc A'!B31</f>
        <v>20</v>
      </c>
      <c r="C31" s="130"/>
    </row>
    <row r="32" spans="1:93" s="143" customFormat="1">
      <c r="A32" s="727" t="str">
        <f>'Calc A'!A32</f>
        <v>Numero de Años con Tasa Fija de Interés</v>
      </c>
      <c r="B32" s="729">
        <f>'Calc A'!B32</f>
        <v>19</v>
      </c>
    </row>
    <row r="33" spans="1:93" s="143" customFormat="1">
      <c r="A33" s="715" t="str">
        <f>'Calc A'!A33</f>
        <v>Periodo de Gracia</v>
      </c>
      <c r="B33" s="716">
        <f>'Calc A'!B33</f>
        <v>3</v>
      </c>
    </row>
    <row r="34" spans="1:93" s="143" customFormat="1" ht="29.25" customHeight="1">
      <c r="A34" s="769" t="str">
        <f>'Calc A'!A34</f>
        <v>Tipo Préstamo</v>
      </c>
      <c r="B34" s="730" t="str">
        <f>'Calc A'!B34</f>
        <v>Annuitätendarlehen - Quotas anuales constantes</v>
      </c>
    </row>
    <row r="35" spans="1:93" s="143" customFormat="1">
      <c r="A35" s="714" t="str">
        <f>'Calc A'!A35</f>
        <v>Tasa Interés Crédito (%)</v>
      </c>
      <c r="B35" s="717">
        <f>IF('Calc A'!B35="","",'Calc A'!B35)*IF('Input sensitivity'!D22=1,0.9,1)*IF('Input sensitivity'!C22=1,0.8,1)*IF('Input sensitivity'!B22=1,0.7,1)*IF('Input sensitivity'!G22=1,1.1,1)*IF('Input sensitivity'!H22=1,1.2,1)*IF('Input sensitivity'!I22=1,1.3,1)</f>
        <v>0.06</v>
      </c>
    </row>
    <row r="36" spans="1:93" s="130" customFormat="1">
      <c r="A36" s="725" t="str">
        <f>'Calc A'!A36</f>
        <v>Tasa Interés después de Periodo Tasa Fija</v>
      </c>
      <c r="B36" s="731">
        <f>IF('Calc A'!B36="","",'Calc A'!B36)*IF('Input sensitivity'!D22=1,0.9,1)*IF('Input sensitivity'!C22=1,0.8,1)*IF('Input sensitivity'!B22=1,0.7,1)*IF('Input sensitivity'!G22=1,1.1,1)*IF('Input sensitivity'!H22=1,1.2,1)*IF('Input sensitivity'!I22=1,1.3,1)</f>
        <v>0.06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</row>
    <row r="37" spans="1:93" s="130" customFormat="1">
      <c r="A37" s="714" t="str">
        <f>'Calc A'!A37</f>
        <v>Mes Inicio Crédito</v>
      </c>
      <c r="B37" s="716">
        <f>'Calc A'!B37</f>
        <v>1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</row>
    <row r="38" spans="1:93" s="130" customFormat="1">
      <c r="A38" s="725" t="str">
        <f>'Calc A'!A38</f>
        <v xml:space="preserve">Pago  </v>
      </c>
      <c r="B38" s="731">
        <f>'Calc A'!B38</f>
        <v>0.92</v>
      </c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</row>
    <row r="39" spans="1:93" s="143" customFormat="1">
      <c r="A39" s="142" t="str">
        <f>'Calc A'!A39</f>
        <v>Cobro por Gestión/Tramitación</v>
      </c>
      <c r="B39" s="746">
        <f>B29*(1-B38)</f>
        <v>-3903.9999999999982</v>
      </c>
    </row>
    <row r="40" spans="1:93" s="135" customFormat="1">
      <c r="A40" s="133" t="str">
        <f>'Calc A'!A40</f>
        <v>Costos Operativos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</row>
    <row r="41" spans="1:93" s="148" customFormat="1">
      <c r="A41" s="145" t="str">
        <f>'Calc A'!A41</f>
        <v>Periodo</v>
      </c>
      <c r="B41" s="146"/>
      <c r="C41" s="57">
        <v>1</v>
      </c>
      <c r="D41" s="57">
        <v>2</v>
      </c>
      <c r="E41" s="57">
        <v>3</v>
      </c>
      <c r="F41" s="57">
        <v>4</v>
      </c>
      <c r="G41" s="57">
        <v>5</v>
      </c>
      <c r="H41" s="57">
        <v>6</v>
      </c>
      <c r="I41" s="57">
        <v>7</v>
      </c>
      <c r="J41" s="57">
        <v>8</v>
      </c>
      <c r="K41" s="57">
        <v>9</v>
      </c>
      <c r="L41" s="57">
        <v>10</v>
      </c>
      <c r="M41" s="57">
        <v>11</v>
      </c>
      <c r="N41" s="57">
        <v>12</v>
      </c>
      <c r="O41" s="57">
        <v>13</v>
      </c>
      <c r="P41" s="57">
        <v>14</v>
      </c>
      <c r="Q41" s="57">
        <v>15</v>
      </c>
      <c r="R41" s="57">
        <v>16</v>
      </c>
      <c r="S41" s="57">
        <v>17</v>
      </c>
      <c r="T41" s="57">
        <v>18</v>
      </c>
      <c r="U41" s="57">
        <v>19</v>
      </c>
      <c r="V41" s="57">
        <v>20</v>
      </c>
      <c r="W41" s="57">
        <v>21</v>
      </c>
      <c r="X41" s="57">
        <v>22</v>
      </c>
      <c r="Y41" s="57">
        <v>23</v>
      </c>
      <c r="Z41" s="57">
        <v>24</v>
      </c>
      <c r="AA41" s="57">
        <v>25</v>
      </c>
      <c r="AB41" s="57">
        <v>26</v>
      </c>
      <c r="AC41" s="57">
        <v>27</v>
      </c>
      <c r="AD41" s="57">
        <v>28</v>
      </c>
      <c r="AE41" s="57">
        <v>29</v>
      </c>
      <c r="AF41" s="57">
        <v>30</v>
      </c>
      <c r="AG41" s="147"/>
    </row>
    <row r="42" spans="1:93" s="148" customFormat="1">
      <c r="A42" s="145" t="str">
        <f>'Calc A'!A42</f>
        <v>Año</v>
      </c>
      <c r="B42" s="146"/>
      <c r="C42" s="57">
        <f>B5</f>
        <v>2015</v>
      </c>
      <c r="D42" s="57">
        <f>C42+1</f>
        <v>2016</v>
      </c>
      <c r="E42" s="57">
        <f t="shared" ref="E42:V42" si="0">D42+1</f>
        <v>2017</v>
      </c>
      <c r="F42" s="57">
        <f t="shared" si="0"/>
        <v>2018</v>
      </c>
      <c r="G42" s="57">
        <f t="shared" si="0"/>
        <v>2019</v>
      </c>
      <c r="H42" s="57">
        <f t="shared" si="0"/>
        <v>2020</v>
      </c>
      <c r="I42" s="57">
        <f t="shared" si="0"/>
        <v>2021</v>
      </c>
      <c r="J42" s="57">
        <f t="shared" si="0"/>
        <v>2022</v>
      </c>
      <c r="K42" s="57">
        <f t="shared" si="0"/>
        <v>2023</v>
      </c>
      <c r="L42" s="57">
        <f t="shared" si="0"/>
        <v>2024</v>
      </c>
      <c r="M42" s="57">
        <f t="shared" si="0"/>
        <v>2025</v>
      </c>
      <c r="N42" s="57">
        <f t="shared" si="0"/>
        <v>2026</v>
      </c>
      <c r="O42" s="57">
        <f t="shared" si="0"/>
        <v>2027</v>
      </c>
      <c r="P42" s="57">
        <f t="shared" si="0"/>
        <v>2028</v>
      </c>
      <c r="Q42" s="57">
        <f t="shared" si="0"/>
        <v>2029</v>
      </c>
      <c r="R42" s="57">
        <f t="shared" si="0"/>
        <v>2030</v>
      </c>
      <c r="S42" s="57">
        <f t="shared" si="0"/>
        <v>2031</v>
      </c>
      <c r="T42" s="57">
        <f t="shared" si="0"/>
        <v>2032</v>
      </c>
      <c r="U42" s="57">
        <f t="shared" si="0"/>
        <v>2033</v>
      </c>
      <c r="V42" s="57">
        <f t="shared" si="0"/>
        <v>2034</v>
      </c>
      <c r="W42" s="57">
        <f t="shared" ref="W42:AF42" si="1">V42+1</f>
        <v>2035</v>
      </c>
      <c r="X42" s="57">
        <f t="shared" si="1"/>
        <v>2036</v>
      </c>
      <c r="Y42" s="57">
        <f t="shared" si="1"/>
        <v>2037</v>
      </c>
      <c r="Z42" s="57">
        <f t="shared" si="1"/>
        <v>2038</v>
      </c>
      <c r="AA42" s="57">
        <f t="shared" si="1"/>
        <v>2039</v>
      </c>
      <c r="AB42" s="57">
        <f t="shared" si="1"/>
        <v>2040</v>
      </c>
      <c r="AC42" s="57">
        <f t="shared" si="1"/>
        <v>2041</v>
      </c>
      <c r="AD42" s="57">
        <f t="shared" si="1"/>
        <v>2042</v>
      </c>
      <c r="AE42" s="57">
        <f t="shared" si="1"/>
        <v>2043</v>
      </c>
      <c r="AF42" s="57">
        <f t="shared" si="1"/>
        <v>2044</v>
      </c>
      <c r="AG42" s="147"/>
    </row>
    <row r="43" spans="1:93" s="130" customFormat="1">
      <c r="A43" s="246" t="str">
        <f>'Calc A'!A43</f>
        <v xml:space="preserve">Costos RRHH </v>
      </c>
      <c r="B43" s="243">
        <f>'Calc A'!B43*IF('Input sensitivity'!D16=1,0.95,1)*IF('Input sensitivity'!C16=1,0.9,1)*IF('Input sensitivity'!B16=1,0.85,1)*IF('Input sensitivity'!G16=1,1.05,1)*IF('Input sensitivity'!H16=1,1.1,1)*IF('Input sensitivity'!I16=1,1.15,1)</f>
        <v>0</v>
      </c>
      <c r="C43" s="243">
        <f>B43</f>
        <v>0</v>
      </c>
      <c r="D43" s="243">
        <f>IF($B$9&lt;D41,0,C43*(1+$B$7))</f>
        <v>0</v>
      </c>
      <c r="E43" s="243">
        <f t="shared" ref="E43:V43" si="2">IF($B$9&lt;E41,0,D43*(1+$B$7))</f>
        <v>0</v>
      </c>
      <c r="F43" s="243">
        <f t="shared" si="2"/>
        <v>0</v>
      </c>
      <c r="G43" s="243">
        <f t="shared" si="2"/>
        <v>0</v>
      </c>
      <c r="H43" s="243">
        <f t="shared" si="2"/>
        <v>0</v>
      </c>
      <c r="I43" s="243">
        <f t="shared" si="2"/>
        <v>0</v>
      </c>
      <c r="J43" s="243">
        <f t="shared" si="2"/>
        <v>0</v>
      </c>
      <c r="K43" s="243">
        <f t="shared" si="2"/>
        <v>0</v>
      </c>
      <c r="L43" s="243">
        <f t="shared" si="2"/>
        <v>0</v>
      </c>
      <c r="M43" s="243">
        <f t="shared" si="2"/>
        <v>0</v>
      </c>
      <c r="N43" s="243">
        <f t="shared" si="2"/>
        <v>0</v>
      </c>
      <c r="O43" s="243">
        <f t="shared" si="2"/>
        <v>0</v>
      </c>
      <c r="P43" s="243">
        <f t="shared" si="2"/>
        <v>0</v>
      </c>
      <c r="Q43" s="243">
        <f t="shared" si="2"/>
        <v>0</v>
      </c>
      <c r="R43" s="243">
        <f t="shared" si="2"/>
        <v>0</v>
      </c>
      <c r="S43" s="243">
        <f t="shared" si="2"/>
        <v>0</v>
      </c>
      <c r="T43" s="243">
        <f t="shared" si="2"/>
        <v>0</v>
      </c>
      <c r="U43" s="243">
        <f t="shared" si="2"/>
        <v>0</v>
      </c>
      <c r="V43" s="243">
        <f t="shared" si="2"/>
        <v>0</v>
      </c>
      <c r="W43" s="243">
        <f t="shared" ref="W43:AF43" si="3">IF($B$9&lt;W41,0,V43*(1+$B$7))</f>
        <v>0</v>
      </c>
      <c r="X43" s="243">
        <f t="shared" si="3"/>
        <v>0</v>
      </c>
      <c r="Y43" s="243">
        <f t="shared" si="3"/>
        <v>0</v>
      </c>
      <c r="Z43" s="243">
        <f t="shared" si="3"/>
        <v>0</v>
      </c>
      <c r="AA43" s="243">
        <f t="shared" si="3"/>
        <v>0</v>
      </c>
      <c r="AB43" s="243">
        <f t="shared" si="3"/>
        <v>0</v>
      </c>
      <c r="AC43" s="243">
        <f t="shared" si="3"/>
        <v>0</v>
      </c>
      <c r="AD43" s="243">
        <f t="shared" si="3"/>
        <v>0</v>
      </c>
      <c r="AE43" s="243">
        <f t="shared" si="3"/>
        <v>0</v>
      </c>
      <c r="AF43" s="243">
        <f t="shared" si="3"/>
        <v>0</v>
      </c>
      <c r="AG43" s="137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</row>
    <row r="44" spans="1:93" s="151" customFormat="1">
      <c r="A44" s="139" t="str">
        <f>'Calc A'!A44</f>
        <v>Costos Administrativos</v>
      </c>
      <c r="B44" s="52">
        <f>'Calc A'!B44</f>
        <v>0</v>
      </c>
      <c r="C44" s="52">
        <f>B44</f>
        <v>0</v>
      </c>
      <c r="D44" s="52">
        <f t="shared" ref="D44:V44" si="4">IF($B$9&lt;D41,"",C44*(1+$B$7))</f>
        <v>0</v>
      </c>
      <c r="E44" s="52">
        <f t="shared" si="4"/>
        <v>0</v>
      </c>
      <c r="F44" s="52">
        <f t="shared" si="4"/>
        <v>0</v>
      </c>
      <c r="G44" s="52">
        <f t="shared" si="4"/>
        <v>0</v>
      </c>
      <c r="H44" s="52">
        <f t="shared" si="4"/>
        <v>0</v>
      </c>
      <c r="I44" s="52">
        <f t="shared" si="4"/>
        <v>0</v>
      </c>
      <c r="J44" s="52">
        <f t="shared" si="4"/>
        <v>0</v>
      </c>
      <c r="K44" s="52">
        <f t="shared" si="4"/>
        <v>0</v>
      </c>
      <c r="L44" s="52">
        <f t="shared" si="4"/>
        <v>0</v>
      </c>
      <c r="M44" s="52">
        <f t="shared" si="4"/>
        <v>0</v>
      </c>
      <c r="N44" s="52">
        <f t="shared" si="4"/>
        <v>0</v>
      </c>
      <c r="O44" s="52">
        <f t="shared" si="4"/>
        <v>0</v>
      </c>
      <c r="P44" s="52">
        <f t="shared" si="4"/>
        <v>0</v>
      </c>
      <c r="Q44" s="52">
        <f t="shared" si="4"/>
        <v>0</v>
      </c>
      <c r="R44" s="52">
        <f t="shared" si="4"/>
        <v>0</v>
      </c>
      <c r="S44" s="52">
        <f t="shared" si="4"/>
        <v>0</v>
      </c>
      <c r="T44" s="52">
        <f t="shared" si="4"/>
        <v>0</v>
      </c>
      <c r="U44" s="52">
        <f t="shared" si="4"/>
        <v>0</v>
      </c>
      <c r="V44" s="52">
        <f t="shared" si="4"/>
        <v>0</v>
      </c>
      <c r="W44" s="52">
        <f t="shared" ref="W44:AF44" si="5">IF($B$9&lt;W41,"",V44*(1+$B$7))</f>
        <v>0</v>
      </c>
      <c r="X44" s="52">
        <f t="shared" si="5"/>
        <v>0</v>
      </c>
      <c r="Y44" s="52">
        <f t="shared" si="5"/>
        <v>0</v>
      </c>
      <c r="Z44" s="52">
        <f t="shared" si="5"/>
        <v>0</v>
      </c>
      <c r="AA44" s="52">
        <f t="shared" si="5"/>
        <v>0</v>
      </c>
      <c r="AB44" s="52" t="str">
        <f t="shared" si="5"/>
        <v/>
      </c>
      <c r="AC44" s="52" t="str">
        <f t="shared" si="5"/>
        <v/>
      </c>
      <c r="AD44" s="52" t="str">
        <f t="shared" si="5"/>
        <v/>
      </c>
      <c r="AE44" s="52" t="str">
        <f t="shared" si="5"/>
        <v/>
      </c>
      <c r="AF44" s="52" t="str">
        <f t="shared" si="5"/>
        <v/>
      </c>
      <c r="AG44" s="188"/>
      <c r="AH44" s="189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</row>
    <row r="45" spans="1:93" s="130" customFormat="1">
      <c r="A45" s="247" t="str">
        <f>'Calc A'!A45</f>
        <v>Costos Combustible</v>
      </c>
      <c r="B45" s="243">
        <f>'Calc A'!B45*IF('Input sensitivity'!$D$19=1,0.9,1)*IF('Input sensitivity'!$C$19=1,0.8,1)*IF('Input sensitivity'!$B$19=1,0.7,1)*IF('Input sensitivity'!$G$19=1,1.1,1)*IF('Input sensitivity'!$H$19=1,1.2,1)*IF('Input sensitivity'!$I$19=1,1.3,1)</f>
        <v>0</v>
      </c>
      <c r="C45" s="243">
        <f>IF($B45=0,0,'Calc A'!C45*$B45/'Calc A'!$B45)</f>
        <v>0</v>
      </c>
      <c r="D45" s="243">
        <f>IF($B45=0,0,'Calc A'!D45*$B45/'Calc A'!$B45)</f>
        <v>0</v>
      </c>
      <c r="E45" s="243">
        <f>IF($B45=0,0,'Calc A'!E45*$B45/'Calc A'!$B45)</f>
        <v>0</v>
      </c>
      <c r="F45" s="243">
        <f>IF($B45=0,0,'Calc A'!F45*$B45/'Calc A'!$B45)</f>
        <v>0</v>
      </c>
      <c r="G45" s="243">
        <f>IF($B45=0,0,'Calc A'!G45*$B45/'Calc A'!$B45)</f>
        <v>0</v>
      </c>
      <c r="H45" s="243">
        <f>IF($B45=0,0,'Calc A'!H45*$B45/'Calc A'!$B45)</f>
        <v>0</v>
      </c>
      <c r="I45" s="243">
        <f>IF($B45=0,0,'Calc A'!I45*$B45/'Calc A'!$B45)</f>
        <v>0</v>
      </c>
      <c r="J45" s="243">
        <f>IF($B45=0,0,'Calc A'!J45*$B45/'Calc A'!$B45)</f>
        <v>0</v>
      </c>
      <c r="K45" s="243">
        <f>IF($B45=0,0,'Calc A'!K45*$B45/'Calc A'!$B45)</f>
        <v>0</v>
      </c>
      <c r="L45" s="243">
        <f>IF($B45=0,0,'Calc A'!L45*$B45/'Calc A'!$B45)</f>
        <v>0</v>
      </c>
      <c r="M45" s="243">
        <f>IF($B45=0,0,'Calc A'!M45*$B45/'Calc A'!$B45)</f>
        <v>0</v>
      </c>
      <c r="N45" s="243">
        <f>IF($B45=0,0,'Calc A'!N45*$B45/'Calc A'!$B45)</f>
        <v>0</v>
      </c>
      <c r="O45" s="243">
        <f>IF($B45=0,0,'Calc A'!O45*$B45/'Calc A'!$B45)</f>
        <v>0</v>
      </c>
      <c r="P45" s="243">
        <f>IF($B45=0,0,'Calc A'!P45*$B45/'Calc A'!$B45)</f>
        <v>0</v>
      </c>
      <c r="Q45" s="243">
        <f>IF($B45=0,0,'Calc A'!Q45*$B45/'Calc A'!$B45)</f>
        <v>0</v>
      </c>
      <c r="R45" s="243">
        <f>IF($B45=0,0,'Calc A'!R45*$B45/'Calc A'!$B45)</f>
        <v>0</v>
      </c>
      <c r="S45" s="243">
        <f>IF($B45=0,0,'Calc A'!S45*$B45/'Calc A'!$B45)</f>
        <v>0</v>
      </c>
      <c r="T45" s="243">
        <f>IF($B45=0,0,'Calc A'!T45*$B45/'Calc A'!$B45)</f>
        <v>0</v>
      </c>
      <c r="U45" s="243">
        <f>IF($B45=0,0,'Calc A'!U45*$B45/'Calc A'!$B45)</f>
        <v>0</v>
      </c>
      <c r="V45" s="243">
        <f>IF($B45=0,0,'Calc A'!V45*$B45/'Calc A'!$B45)</f>
        <v>0</v>
      </c>
      <c r="W45" s="243">
        <f>IF($B45=0,0,'Calc A'!W45*$B45/'Calc A'!$B45)</f>
        <v>0</v>
      </c>
      <c r="X45" s="243">
        <f>IF($B45=0,0,'Calc A'!X45*$B45/'Calc A'!$B45)</f>
        <v>0</v>
      </c>
      <c r="Y45" s="243">
        <f>IF($B45=0,0,'Calc A'!Y45*$B45/'Calc A'!$B45)</f>
        <v>0</v>
      </c>
      <c r="Z45" s="243">
        <f>IF($B45=0,0,'Calc A'!Z45*$B45/'Calc A'!$B45)</f>
        <v>0</v>
      </c>
      <c r="AA45" s="243">
        <f>IF($B45=0,0,'Calc A'!AA45*$B45/'Calc A'!$B45)</f>
        <v>0</v>
      </c>
      <c r="AB45" s="243">
        <f>IF($B45=0,0,'Calc A'!AB45*$B45/'Calc A'!$B45)</f>
        <v>0</v>
      </c>
      <c r="AC45" s="243">
        <f>IF($B45=0,0,'Calc A'!AC45*$B45/'Calc A'!$B45)</f>
        <v>0</v>
      </c>
      <c r="AD45" s="243">
        <f>IF($B45=0,0,'Calc A'!AD45*$B45/'Calc A'!$B45)</f>
        <v>0</v>
      </c>
      <c r="AE45" s="243">
        <f>IF($B45=0,0,'Calc A'!AE45*$B45/'Calc A'!$B45)</f>
        <v>0</v>
      </c>
      <c r="AF45" s="243">
        <f>IF($B45=0,0,'Calc A'!AF45*$B45/'Calc A'!$B45)</f>
        <v>0</v>
      </c>
      <c r="AG45" s="137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</row>
    <row r="46" spans="1:93" s="130" customFormat="1">
      <c r="A46" s="139" t="str">
        <f>'Calc A'!A46</f>
        <v>Costos Mantención</v>
      </c>
      <c r="B46" s="52">
        <f>'Calc A'!B46</f>
        <v>-1220</v>
      </c>
      <c r="C46" s="52">
        <f>'Calc A'!C46</f>
        <v>-1220</v>
      </c>
      <c r="D46" s="52">
        <f>'Calc A'!D46</f>
        <v>-1256.6000000000001</v>
      </c>
      <c r="E46" s="52">
        <f>'Calc A'!E46</f>
        <v>-1294.2980000000002</v>
      </c>
      <c r="F46" s="52">
        <f>'Calc A'!F46</f>
        <v>-1333.1269400000003</v>
      </c>
      <c r="G46" s="52">
        <f>'Calc A'!G46</f>
        <v>-1373.1207482000004</v>
      </c>
      <c r="H46" s="52">
        <f>'Calc A'!H46</f>
        <v>-1414.3143706460005</v>
      </c>
      <c r="I46" s="52">
        <f>'Calc A'!I46</f>
        <v>-1456.7438017653806</v>
      </c>
      <c r="J46" s="52">
        <f>'Calc A'!J46</f>
        <v>-1500.4461158183419</v>
      </c>
      <c r="K46" s="52">
        <f>'Calc A'!K46</f>
        <v>-1545.4594992928921</v>
      </c>
      <c r="L46" s="52">
        <f>'Calc A'!L46</f>
        <v>-1591.8232842716789</v>
      </c>
      <c r="M46" s="52">
        <f>'Calc A'!M46</f>
        <v>-1639.5779827998292</v>
      </c>
      <c r="N46" s="52">
        <f>'Calc A'!N46</f>
        <v>-1688.7653222838242</v>
      </c>
      <c r="O46" s="52">
        <f>'Calc A'!O46</f>
        <v>-1739.4282819523389</v>
      </c>
      <c r="P46" s="52">
        <f>'Calc A'!P46</f>
        <v>-1791.611130410909</v>
      </c>
      <c r="Q46" s="52">
        <f>'Calc A'!Q46</f>
        <v>-1845.3594643232364</v>
      </c>
      <c r="R46" s="52">
        <f>'Calc A'!R46</f>
        <v>-1900.7202482529335</v>
      </c>
      <c r="S46" s="52">
        <f>'Calc A'!S46</f>
        <v>-1957.7418557005217</v>
      </c>
      <c r="T46" s="52">
        <f>'Calc A'!T46</f>
        <v>-2016.4741113715374</v>
      </c>
      <c r="U46" s="52">
        <f>'Calc A'!U46</f>
        <v>-2076.9683347126838</v>
      </c>
      <c r="V46" s="52">
        <f>'Calc A'!V46</f>
        <v>-2139.2773847540643</v>
      </c>
      <c r="W46" s="52">
        <f>'Calc A'!W46</f>
        <v>-2203.4557062966865</v>
      </c>
      <c r="X46" s="52">
        <f>'Calc A'!X46</f>
        <v>-2269.559377485587</v>
      </c>
      <c r="Y46" s="52">
        <f>'Calc A'!Y46</f>
        <v>-2337.6461588101547</v>
      </c>
      <c r="Z46" s="52">
        <f>'Calc A'!Z46</f>
        <v>-2407.7755435744593</v>
      </c>
      <c r="AA46" s="52">
        <f>'Calc A'!AA46</f>
        <v>-2480.0088098816932</v>
      </c>
      <c r="AB46" s="52">
        <f>'Calc A'!AB46</f>
        <v>0</v>
      </c>
      <c r="AC46" s="52">
        <f>'Calc A'!AC46</f>
        <v>0</v>
      </c>
      <c r="AD46" s="52">
        <f>'Calc A'!AD46</f>
        <v>0</v>
      </c>
      <c r="AE46" s="52">
        <f>'Calc A'!AE46</f>
        <v>0</v>
      </c>
      <c r="AF46" s="52">
        <f>'Calc A'!AF46</f>
        <v>0</v>
      </c>
      <c r="AG46" s="137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</row>
    <row r="47" spans="1:93" s="130" customFormat="1">
      <c r="A47" s="247" t="str">
        <f>'Calc A'!A47</f>
        <v>Costos Esporádicos</v>
      </c>
      <c r="B47" s="243" t="str">
        <f>IF('Calc A'!B47="","",'Calc A'!B47)</f>
        <v/>
      </c>
      <c r="C47" s="243">
        <f>'Calc A'!C47</f>
        <v>0</v>
      </c>
      <c r="D47" s="243">
        <f>'Calc A'!D47</f>
        <v>0</v>
      </c>
      <c r="E47" s="243">
        <f>'Calc A'!E47</f>
        <v>0</v>
      </c>
      <c r="F47" s="243">
        <f>'Calc A'!F47</f>
        <v>0</v>
      </c>
      <c r="G47" s="243">
        <f>'Calc A'!G47</f>
        <v>0</v>
      </c>
      <c r="H47" s="243">
        <f>'Calc A'!H47</f>
        <v>0</v>
      </c>
      <c r="I47" s="243">
        <f>'Calc A'!I47</f>
        <v>0</v>
      </c>
      <c r="J47" s="243">
        <f>'Calc A'!J47</f>
        <v>0</v>
      </c>
      <c r="K47" s="243">
        <f>'Calc A'!K47</f>
        <v>0</v>
      </c>
      <c r="L47" s="243">
        <f>'Calc A'!L47</f>
        <v>0</v>
      </c>
      <c r="M47" s="243">
        <f>'Calc A'!M47</f>
        <v>0</v>
      </c>
      <c r="N47" s="243">
        <f>'Calc A'!N47</f>
        <v>0</v>
      </c>
      <c r="O47" s="243">
        <f>'Calc A'!O47</f>
        <v>0</v>
      </c>
      <c r="P47" s="243">
        <f>'Calc A'!P47</f>
        <v>0</v>
      </c>
      <c r="Q47" s="243">
        <f>'Calc A'!Q47</f>
        <v>0</v>
      </c>
      <c r="R47" s="243">
        <f>'Calc A'!R47</f>
        <v>0</v>
      </c>
      <c r="S47" s="243">
        <f>'Calc A'!S47</f>
        <v>0</v>
      </c>
      <c r="T47" s="243">
        <f>'Calc A'!T47</f>
        <v>0</v>
      </c>
      <c r="U47" s="243">
        <f>'Calc A'!U47</f>
        <v>0</v>
      </c>
      <c r="V47" s="243">
        <f>'Calc A'!V47</f>
        <v>0</v>
      </c>
      <c r="W47" s="243">
        <f>'Calc A'!W47</f>
        <v>0</v>
      </c>
      <c r="X47" s="243">
        <f>'Calc A'!X47</f>
        <v>0</v>
      </c>
      <c r="Y47" s="243">
        <f>'Calc A'!Y47</f>
        <v>0</v>
      </c>
      <c r="Z47" s="243">
        <f>'Calc A'!Z47</f>
        <v>0</v>
      </c>
      <c r="AA47" s="243">
        <f>'Calc A'!AA47</f>
        <v>0</v>
      </c>
      <c r="AB47" s="243">
        <f>'Calc A'!AB47</f>
        <v>0</v>
      </c>
      <c r="AC47" s="243">
        <f>'Calc A'!AC47</f>
        <v>0</v>
      </c>
      <c r="AD47" s="243">
        <f>'Calc A'!AD47</f>
        <v>0</v>
      </c>
      <c r="AE47" s="243">
        <f>'Calc A'!AE47</f>
        <v>0</v>
      </c>
      <c r="AF47" s="243">
        <f>'Calc A'!AF47</f>
        <v>0</v>
      </c>
      <c r="AG47" s="142"/>
      <c r="AH47" s="143"/>
    </row>
    <row r="48" spans="1:93" s="130" customFormat="1">
      <c r="A48" s="139" t="str">
        <f>'Calc A'!A48</f>
        <v xml:space="preserve">Arriendo  </v>
      </c>
      <c r="B48" s="52">
        <f>'Calc A'!B48</f>
        <v>0</v>
      </c>
      <c r="C48" s="52">
        <f>B48</f>
        <v>0</v>
      </c>
      <c r="D48" s="52">
        <f t="shared" ref="D48:V48" si="6">IF($B$9&lt;D41,0,C48*(1+$B$7))</f>
        <v>0</v>
      </c>
      <c r="E48" s="52">
        <f t="shared" si="6"/>
        <v>0</v>
      </c>
      <c r="F48" s="52">
        <f t="shared" si="6"/>
        <v>0</v>
      </c>
      <c r="G48" s="52">
        <f t="shared" si="6"/>
        <v>0</v>
      </c>
      <c r="H48" s="52">
        <f t="shared" si="6"/>
        <v>0</v>
      </c>
      <c r="I48" s="52">
        <f t="shared" si="6"/>
        <v>0</v>
      </c>
      <c r="J48" s="52">
        <f t="shared" si="6"/>
        <v>0</v>
      </c>
      <c r="K48" s="52">
        <f t="shared" si="6"/>
        <v>0</v>
      </c>
      <c r="L48" s="52">
        <f t="shared" si="6"/>
        <v>0</v>
      </c>
      <c r="M48" s="52">
        <f t="shared" si="6"/>
        <v>0</v>
      </c>
      <c r="N48" s="52">
        <f t="shared" si="6"/>
        <v>0</v>
      </c>
      <c r="O48" s="52">
        <f t="shared" si="6"/>
        <v>0</v>
      </c>
      <c r="P48" s="52">
        <f t="shared" si="6"/>
        <v>0</v>
      </c>
      <c r="Q48" s="52">
        <f t="shared" si="6"/>
        <v>0</v>
      </c>
      <c r="R48" s="52">
        <f t="shared" si="6"/>
        <v>0</v>
      </c>
      <c r="S48" s="52">
        <f t="shared" si="6"/>
        <v>0</v>
      </c>
      <c r="T48" s="52">
        <f t="shared" si="6"/>
        <v>0</v>
      </c>
      <c r="U48" s="52">
        <f t="shared" si="6"/>
        <v>0</v>
      </c>
      <c r="V48" s="52">
        <f t="shared" si="6"/>
        <v>0</v>
      </c>
      <c r="W48" s="52">
        <f t="shared" ref="W48:AF48" si="7">IF($B$9&lt;W41,0,V48*(1+$B$7))</f>
        <v>0</v>
      </c>
      <c r="X48" s="52">
        <f t="shared" si="7"/>
        <v>0</v>
      </c>
      <c r="Y48" s="52">
        <f t="shared" si="7"/>
        <v>0</v>
      </c>
      <c r="Z48" s="52">
        <f t="shared" si="7"/>
        <v>0</v>
      </c>
      <c r="AA48" s="52">
        <f t="shared" si="7"/>
        <v>0</v>
      </c>
      <c r="AB48" s="52">
        <f t="shared" si="7"/>
        <v>0</v>
      </c>
      <c r="AC48" s="52">
        <f t="shared" si="7"/>
        <v>0</v>
      </c>
      <c r="AD48" s="52">
        <f t="shared" si="7"/>
        <v>0</v>
      </c>
      <c r="AE48" s="52">
        <f t="shared" si="7"/>
        <v>0</v>
      </c>
      <c r="AF48" s="52">
        <f t="shared" si="7"/>
        <v>0</v>
      </c>
      <c r="AG48" s="142"/>
      <c r="AH48" s="143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</row>
    <row r="49" spans="1:93" s="130" customFormat="1">
      <c r="A49" s="247" t="str">
        <f>'Calc A'!A49</f>
        <v>Provisiones Desmantelamiento</v>
      </c>
      <c r="B49" s="243"/>
      <c r="C49" s="243">
        <f>'Calc A'!C49</f>
        <v>0</v>
      </c>
      <c r="D49" s="243">
        <f>'Calc A'!D49</f>
        <v>0</v>
      </c>
      <c r="E49" s="243">
        <f>'Calc A'!E49</f>
        <v>0</v>
      </c>
      <c r="F49" s="243">
        <f>'Calc A'!F49</f>
        <v>0</v>
      </c>
      <c r="G49" s="243">
        <f>'Calc A'!G49</f>
        <v>0</v>
      </c>
      <c r="H49" s="243">
        <f>'Calc A'!H49</f>
        <v>0</v>
      </c>
      <c r="I49" s="243">
        <f>'Calc A'!I49</f>
        <v>0</v>
      </c>
      <c r="J49" s="243">
        <f>'Calc A'!J49</f>
        <v>0</v>
      </c>
      <c r="K49" s="243">
        <f>'Calc A'!K49</f>
        <v>0</v>
      </c>
      <c r="L49" s="243">
        <f>'Calc A'!L49</f>
        <v>0</v>
      </c>
      <c r="M49" s="243">
        <f>'Calc A'!M49</f>
        <v>0</v>
      </c>
      <c r="N49" s="243">
        <f>'Calc A'!N49</f>
        <v>0</v>
      </c>
      <c r="O49" s="243">
        <f>'Calc A'!O49</f>
        <v>0</v>
      </c>
      <c r="P49" s="243">
        <f>'Calc A'!P49</f>
        <v>0</v>
      </c>
      <c r="Q49" s="243">
        <f>'Calc A'!Q49</f>
        <v>0</v>
      </c>
      <c r="R49" s="243">
        <f>'Calc A'!R49</f>
        <v>0</v>
      </c>
      <c r="S49" s="243">
        <f>'Calc A'!S49</f>
        <v>0</v>
      </c>
      <c r="T49" s="243">
        <f>'Calc A'!T49</f>
        <v>0</v>
      </c>
      <c r="U49" s="243">
        <f>'Calc A'!U49</f>
        <v>0</v>
      </c>
      <c r="V49" s="243">
        <f>'Calc A'!V49</f>
        <v>0</v>
      </c>
      <c r="W49" s="243">
        <f>'Calc A'!W49</f>
        <v>0</v>
      </c>
      <c r="X49" s="243">
        <f>'Calc A'!X49</f>
        <v>0</v>
      </c>
      <c r="Y49" s="243">
        <f>'Calc A'!Y49</f>
        <v>0</v>
      </c>
      <c r="Z49" s="243">
        <f>'Calc A'!Z49</f>
        <v>0</v>
      </c>
      <c r="AA49" s="243">
        <f>'Calc A'!AA49</f>
        <v>0</v>
      </c>
      <c r="AB49" s="243">
        <f>'Calc A'!AB49</f>
        <v>0</v>
      </c>
      <c r="AC49" s="243">
        <f>'Calc A'!AC49</f>
        <v>0</v>
      </c>
      <c r="AD49" s="243">
        <f>'Calc A'!AD49</f>
        <v>0</v>
      </c>
      <c r="AE49" s="243">
        <f>'Calc A'!AE49</f>
        <v>0</v>
      </c>
      <c r="AF49" s="243">
        <f>'Calc A'!AF49</f>
        <v>0</v>
      </c>
      <c r="AG49" s="60"/>
      <c r="AH49" s="143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</row>
    <row r="50" spans="1:93" s="154" customFormat="1">
      <c r="A50" s="59" t="str">
        <f>'Calc A'!A50</f>
        <v>Total Costos Operativos</v>
      </c>
      <c r="B50" s="58" t="str">
        <f>IF('Calc A'!B50="","",'Calc A'!B50)</f>
        <v/>
      </c>
      <c r="C50" s="59">
        <f t="shared" ref="C50:V50" si="8">IF($B$9&lt;C41,0,SUM(C43:C49))</f>
        <v>-1220</v>
      </c>
      <c r="D50" s="59">
        <f>IF($B$9&lt;D41,0,SUM(D43:D49))</f>
        <v>-1256.6000000000001</v>
      </c>
      <c r="E50" s="59">
        <f t="shared" si="8"/>
        <v>-1294.2980000000002</v>
      </c>
      <c r="F50" s="59">
        <f>IF($B$9&lt;F41,0,SUM(F43:F49))</f>
        <v>-1333.1269400000003</v>
      </c>
      <c r="G50" s="59">
        <f t="shared" si="8"/>
        <v>-1373.1207482000004</v>
      </c>
      <c r="H50" s="59">
        <f t="shared" si="8"/>
        <v>-1414.3143706460005</v>
      </c>
      <c r="I50" s="59">
        <f t="shared" si="8"/>
        <v>-1456.7438017653806</v>
      </c>
      <c r="J50" s="59">
        <f t="shared" si="8"/>
        <v>-1500.4461158183419</v>
      </c>
      <c r="K50" s="59">
        <f t="shared" si="8"/>
        <v>-1545.4594992928921</v>
      </c>
      <c r="L50" s="59">
        <f t="shared" si="8"/>
        <v>-1591.8232842716789</v>
      </c>
      <c r="M50" s="59">
        <f t="shared" si="8"/>
        <v>-1639.5779827998292</v>
      </c>
      <c r="N50" s="59">
        <f t="shared" si="8"/>
        <v>-1688.7653222838242</v>
      </c>
      <c r="O50" s="59">
        <f t="shared" si="8"/>
        <v>-1739.4282819523389</v>
      </c>
      <c r="P50" s="59">
        <f t="shared" si="8"/>
        <v>-1791.611130410909</v>
      </c>
      <c r="Q50" s="59">
        <f t="shared" si="8"/>
        <v>-1845.3594643232364</v>
      </c>
      <c r="R50" s="59">
        <f t="shared" si="8"/>
        <v>-1900.7202482529335</v>
      </c>
      <c r="S50" s="59">
        <f t="shared" si="8"/>
        <v>-1957.7418557005217</v>
      </c>
      <c r="T50" s="59">
        <f t="shared" si="8"/>
        <v>-2016.4741113715374</v>
      </c>
      <c r="U50" s="59">
        <f t="shared" si="8"/>
        <v>-2076.9683347126838</v>
      </c>
      <c r="V50" s="59">
        <f t="shared" si="8"/>
        <v>-2139.2773847540643</v>
      </c>
      <c r="W50" s="59">
        <f t="shared" ref="W50:AF50" si="9">IF($B$9&lt;W41,0,SUM(W43:W49))</f>
        <v>-2203.4557062966865</v>
      </c>
      <c r="X50" s="59">
        <f t="shared" si="9"/>
        <v>-2269.559377485587</v>
      </c>
      <c r="Y50" s="59">
        <f t="shared" si="9"/>
        <v>-2337.6461588101547</v>
      </c>
      <c r="Z50" s="59">
        <f t="shared" si="9"/>
        <v>-2407.7755435744593</v>
      </c>
      <c r="AA50" s="59">
        <f t="shared" si="9"/>
        <v>-2480.0088098816932</v>
      </c>
      <c r="AB50" s="59">
        <f t="shared" si="9"/>
        <v>0</v>
      </c>
      <c r="AC50" s="59">
        <f t="shared" si="9"/>
        <v>0</v>
      </c>
      <c r="AD50" s="59">
        <f t="shared" si="9"/>
        <v>0</v>
      </c>
      <c r="AE50" s="59">
        <f t="shared" si="9"/>
        <v>0</v>
      </c>
      <c r="AF50" s="59">
        <f t="shared" si="9"/>
        <v>0</v>
      </c>
      <c r="AG50" s="152"/>
      <c r="AH50" s="152"/>
      <c r="AI50" s="152"/>
      <c r="AJ50" s="153"/>
      <c r="AK50" s="153"/>
      <c r="AL50" s="153"/>
    </row>
    <row r="51" spans="1:93" s="130" customFormat="1">
      <c r="A51" s="723" t="str">
        <f>'Calc A'!A51</f>
        <v>Con Efecto Sobre la Liquidez</v>
      </c>
      <c r="B51" s="723"/>
      <c r="C51" s="713">
        <f>C50-C49</f>
        <v>-1220</v>
      </c>
      <c r="D51" s="713">
        <f t="shared" ref="D51:V51" si="10">D50-D49</f>
        <v>-1256.6000000000001</v>
      </c>
      <c r="E51" s="713">
        <f t="shared" si="10"/>
        <v>-1294.2980000000002</v>
      </c>
      <c r="F51" s="713">
        <f t="shared" si="10"/>
        <v>-1333.1269400000003</v>
      </c>
      <c r="G51" s="713">
        <f t="shared" si="10"/>
        <v>-1373.1207482000004</v>
      </c>
      <c r="H51" s="713">
        <f t="shared" si="10"/>
        <v>-1414.3143706460005</v>
      </c>
      <c r="I51" s="713">
        <f t="shared" si="10"/>
        <v>-1456.7438017653806</v>
      </c>
      <c r="J51" s="713">
        <f t="shared" si="10"/>
        <v>-1500.4461158183419</v>
      </c>
      <c r="K51" s="713">
        <f t="shared" si="10"/>
        <v>-1545.4594992928921</v>
      </c>
      <c r="L51" s="713">
        <f t="shared" si="10"/>
        <v>-1591.8232842716789</v>
      </c>
      <c r="M51" s="713">
        <f t="shared" si="10"/>
        <v>-1639.5779827998292</v>
      </c>
      <c r="N51" s="713">
        <f t="shared" si="10"/>
        <v>-1688.7653222838242</v>
      </c>
      <c r="O51" s="713">
        <f t="shared" si="10"/>
        <v>-1739.4282819523389</v>
      </c>
      <c r="P51" s="713">
        <f t="shared" si="10"/>
        <v>-1791.611130410909</v>
      </c>
      <c r="Q51" s="713">
        <f t="shared" si="10"/>
        <v>-1845.3594643232364</v>
      </c>
      <c r="R51" s="713">
        <f t="shared" si="10"/>
        <v>-1900.7202482529335</v>
      </c>
      <c r="S51" s="713">
        <f t="shared" si="10"/>
        <v>-1957.7418557005217</v>
      </c>
      <c r="T51" s="713">
        <f t="shared" si="10"/>
        <v>-2016.4741113715374</v>
      </c>
      <c r="U51" s="713">
        <f t="shared" si="10"/>
        <v>-2076.9683347126838</v>
      </c>
      <c r="V51" s="713">
        <f t="shared" si="10"/>
        <v>-2139.2773847540643</v>
      </c>
      <c r="W51" s="713">
        <f t="shared" ref="W51:AF51" si="11">W50-W49</f>
        <v>-2203.4557062966865</v>
      </c>
      <c r="X51" s="713">
        <f t="shared" si="11"/>
        <v>-2269.559377485587</v>
      </c>
      <c r="Y51" s="713">
        <f t="shared" si="11"/>
        <v>-2337.6461588101547</v>
      </c>
      <c r="Z51" s="713">
        <f t="shared" si="11"/>
        <v>-2407.7755435744593</v>
      </c>
      <c r="AA51" s="713">
        <f t="shared" si="11"/>
        <v>-2480.0088098816932</v>
      </c>
      <c r="AB51" s="713">
        <f t="shared" si="11"/>
        <v>0</v>
      </c>
      <c r="AC51" s="713">
        <f t="shared" si="11"/>
        <v>0</v>
      </c>
      <c r="AD51" s="713">
        <f t="shared" si="11"/>
        <v>0</v>
      </c>
      <c r="AE51" s="713">
        <f t="shared" si="11"/>
        <v>0</v>
      </c>
      <c r="AF51" s="713">
        <f t="shared" si="11"/>
        <v>0</v>
      </c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</row>
    <row r="52" spans="1:93" s="130" customFormat="1">
      <c r="A52" s="723" t="str">
        <f>'Calc A'!A52</f>
        <v>Sin Efecto Sobre la Liquidez</v>
      </c>
      <c r="B52" s="723"/>
      <c r="C52" s="713">
        <f>C49</f>
        <v>0</v>
      </c>
      <c r="D52" s="713">
        <f t="shared" ref="D52:V52" si="12">D49</f>
        <v>0</v>
      </c>
      <c r="E52" s="713">
        <f t="shared" si="12"/>
        <v>0</v>
      </c>
      <c r="F52" s="713">
        <f t="shared" si="12"/>
        <v>0</v>
      </c>
      <c r="G52" s="713">
        <f t="shared" si="12"/>
        <v>0</v>
      </c>
      <c r="H52" s="713">
        <f t="shared" si="12"/>
        <v>0</v>
      </c>
      <c r="I52" s="713">
        <f t="shared" si="12"/>
        <v>0</v>
      </c>
      <c r="J52" s="713">
        <f t="shared" si="12"/>
        <v>0</v>
      </c>
      <c r="K52" s="713">
        <f t="shared" si="12"/>
        <v>0</v>
      </c>
      <c r="L52" s="713">
        <f t="shared" si="12"/>
        <v>0</v>
      </c>
      <c r="M52" s="713">
        <f t="shared" si="12"/>
        <v>0</v>
      </c>
      <c r="N52" s="713">
        <f t="shared" si="12"/>
        <v>0</v>
      </c>
      <c r="O52" s="713">
        <f t="shared" si="12"/>
        <v>0</v>
      </c>
      <c r="P52" s="713">
        <f t="shared" si="12"/>
        <v>0</v>
      </c>
      <c r="Q52" s="713">
        <f t="shared" si="12"/>
        <v>0</v>
      </c>
      <c r="R52" s="713">
        <f t="shared" si="12"/>
        <v>0</v>
      </c>
      <c r="S52" s="713">
        <f t="shared" si="12"/>
        <v>0</v>
      </c>
      <c r="T52" s="713">
        <f t="shared" si="12"/>
        <v>0</v>
      </c>
      <c r="U52" s="713">
        <f t="shared" si="12"/>
        <v>0</v>
      </c>
      <c r="V52" s="713">
        <f t="shared" si="12"/>
        <v>0</v>
      </c>
      <c r="W52" s="713">
        <f t="shared" ref="W52:AF52" si="13">W49</f>
        <v>0</v>
      </c>
      <c r="X52" s="713">
        <f t="shared" si="13"/>
        <v>0</v>
      </c>
      <c r="Y52" s="713">
        <f t="shared" si="13"/>
        <v>0</v>
      </c>
      <c r="Z52" s="713">
        <f t="shared" si="13"/>
        <v>0</v>
      </c>
      <c r="AA52" s="713">
        <f t="shared" si="13"/>
        <v>0</v>
      </c>
      <c r="AB52" s="713">
        <f t="shared" si="13"/>
        <v>0</v>
      </c>
      <c r="AC52" s="713">
        <f t="shared" si="13"/>
        <v>0</v>
      </c>
      <c r="AD52" s="713">
        <f t="shared" si="13"/>
        <v>0</v>
      </c>
      <c r="AE52" s="713">
        <f t="shared" si="13"/>
        <v>0</v>
      </c>
      <c r="AF52" s="713">
        <f t="shared" si="13"/>
        <v>0</v>
      </c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</row>
    <row r="53" spans="1:93">
      <c r="A53" s="1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9"/>
    </row>
    <row r="54" spans="1:93" s="135" customFormat="1">
      <c r="A54" s="133" t="str">
        <f>'Calc A'!A54</f>
        <v>Costos Financiamiento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</row>
    <row r="55" spans="1:93" s="189" customFormat="1">
      <c r="A55" s="712" t="str">
        <f>'Calc A'!A55</f>
        <v>Intereses</v>
      </c>
      <c r="B55" s="712"/>
      <c r="C55" s="712">
        <f>-'Credit sensitivity'!G4</f>
        <v>-2919.8666666666668</v>
      </c>
      <c r="D55" s="712">
        <f>-'Credit sensitivity'!H4</f>
        <v>-2928</v>
      </c>
      <c r="E55" s="712">
        <f>-'Credit sensitivity'!I4</f>
        <v>-2928</v>
      </c>
      <c r="F55" s="712">
        <f>-'Credit sensitivity'!J4</f>
        <v>-2888.6909615634813</v>
      </c>
      <c r="G55" s="712">
        <f>-'Credit sensitivity'!K4</f>
        <v>-2780.1378902971933</v>
      </c>
      <c r="H55" s="712">
        <f>-'Credit sensitivity'!L4</f>
        <v>-2664.9236171467564</v>
      </c>
      <c r="I55" s="712">
        <f>-'Credit sensitivity'!M4</f>
        <v>-2542.6393871131309</v>
      </c>
      <c r="J55" s="712">
        <f>-'Credit sensitivity'!N4</f>
        <v>-2412.8513625391975</v>
      </c>
      <c r="K55" s="712">
        <f>-'Credit sensitivity'!O4</f>
        <v>-2275.0990839488022</v>
      </c>
      <c r="L55" s="712">
        <f>-'Credit sensitivity'!P4</f>
        <v>-2128.8938364374158</v>
      </c>
      <c r="M55" s="712">
        <f>-'Credit sensitivity'!Q4</f>
        <v>-1973.7169158187244</v>
      </c>
      <c r="N55" s="712">
        <f>-'Credit sensitivity'!R4</f>
        <v>-1809.0177883758165</v>
      </c>
      <c r="O55" s="712">
        <f>-'Credit sensitivity'!S4</f>
        <v>-1634.2121376881723</v>
      </c>
      <c r="P55" s="712">
        <f>-'Credit sensitivity'!T4</f>
        <v>-1448.6797916050209</v>
      </c>
      <c r="Q55" s="712">
        <f>-'Credit sensitivity'!U4</f>
        <v>-1251.7625220104208</v>
      </c>
      <c r="R55" s="712">
        <f>-'Credit sensitivity'!V4</f>
        <v>-1042.7617095741157</v>
      </c>
      <c r="S55" s="712">
        <f>-'Credit sensitivity'!W4</f>
        <v>-820.93586520320923</v>
      </c>
      <c r="T55" s="712">
        <f>-'Credit sensitivity'!X4</f>
        <v>-585.4979994013155</v>
      </c>
      <c r="U55" s="712">
        <f>-'Credit sensitivity'!Y4</f>
        <v>-335.61283020224516</v>
      </c>
      <c r="V55" s="712">
        <f>-'Credit sensitivity'!Z4</f>
        <v>-83.532558081687682</v>
      </c>
      <c r="W55" s="712">
        <f>-'Credit sensitivity'!AA4</f>
        <v>0</v>
      </c>
      <c r="X55" s="712">
        <f>-'Credit sensitivity'!AB4</f>
        <v>0</v>
      </c>
      <c r="Y55" s="712">
        <f>-'Credit sensitivity'!AC4</f>
        <v>0</v>
      </c>
      <c r="Z55" s="712">
        <f>-'Credit sensitivity'!AD4</f>
        <v>0</v>
      </c>
      <c r="AA55" s="712">
        <f>-'Credit sensitivity'!AE4</f>
        <v>0</v>
      </c>
      <c r="AB55" s="712">
        <f>-'Credit sensitivity'!AF4</f>
        <v>0</v>
      </c>
      <c r="AC55" s="712">
        <f>-'Credit sensitivity'!AG4</f>
        <v>0</v>
      </c>
      <c r="AD55" s="712">
        <f>-'Credit sensitivity'!AH4</f>
        <v>0</v>
      </c>
      <c r="AE55" s="712">
        <f>-'Credit sensitivity'!AI4</f>
        <v>0</v>
      </c>
      <c r="AF55" s="712">
        <f>-'Credit sensitivity'!AJ4</f>
        <v>0</v>
      </c>
      <c r="AG55" s="188"/>
      <c r="AH55" s="188"/>
      <c r="AI55" s="188"/>
      <c r="AJ55" s="188"/>
      <c r="AK55" s="188"/>
      <c r="AL55" s="188"/>
    </row>
    <row r="56" spans="1:93" s="189" customFormat="1">
      <c r="A56" s="712" t="str">
        <f>'Calc A'!A56</f>
        <v>Reembolso</v>
      </c>
      <c r="B56" s="712"/>
      <c r="C56" s="712">
        <f>-'Credit sensitivity'!G5</f>
        <v>0</v>
      </c>
      <c r="D56" s="712">
        <f>-'Credit sensitivity'!H5</f>
        <v>0</v>
      </c>
      <c r="E56" s="712">
        <f>-'Credit sensitivity'!I5</f>
        <v>0</v>
      </c>
      <c r="F56" s="712">
        <f>-'Credit sensitivity'!J5</f>
        <v>-1769.0154849361531</v>
      </c>
      <c r="G56" s="712">
        <f>-'Credit sensitivity'!K5</f>
        <v>-1877.5685562024414</v>
      </c>
      <c r="H56" s="712">
        <f>-'Credit sensitivity'!L5</f>
        <v>-1992.782829352878</v>
      </c>
      <c r="I56" s="712">
        <f>-'Credit sensitivity'!M5</f>
        <v>-2115.0670593865038</v>
      </c>
      <c r="J56" s="712">
        <f>-'Credit sensitivity'!N5</f>
        <v>-2244.8550839604372</v>
      </c>
      <c r="K56" s="712">
        <f>-'Credit sensitivity'!O5</f>
        <v>-2382.6073625508325</v>
      </c>
      <c r="L56" s="712">
        <f>-'Credit sensitivity'!P5</f>
        <v>-2528.8126100622189</v>
      </c>
      <c r="M56" s="712">
        <f>-'Credit sensitivity'!Q5</f>
        <v>-2683.9895306809103</v>
      </c>
      <c r="N56" s="712">
        <f>-'Credit sensitivity'!R5</f>
        <v>-2848.6886581238182</v>
      </c>
      <c r="O56" s="712">
        <f>-'Credit sensitivity'!S5</f>
        <v>-3023.4943088114624</v>
      </c>
      <c r="P56" s="712">
        <f>-'Credit sensitivity'!T5</f>
        <v>-3209.0266548946133</v>
      </c>
      <c r="Q56" s="712">
        <f>-'Credit sensitivity'!U5</f>
        <v>-3405.9439244892137</v>
      </c>
      <c r="R56" s="712">
        <f>-'Credit sensitivity'!V5</f>
        <v>-3614.944736925519</v>
      </c>
      <c r="S56" s="712">
        <f>-'Credit sensitivity'!W5</f>
        <v>-3836.7705812964255</v>
      </c>
      <c r="T56" s="712">
        <f>-'Credit sensitivity'!X5</f>
        <v>-4072.2084470983191</v>
      </c>
      <c r="U56" s="712">
        <f>-'Credit sensitivity'!Y5</f>
        <v>-4322.0936162973894</v>
      </c>
      <c r="V56" s="712">
        <f>-'Credit sensitivity'!Z5</f>
        <v>-2872.1305549308645</v>
      </c>
      <c r="W56" s="712">
        <f>-'Credit sensitivity'!AA5</f>
        <v>0</v>
      </c>
      <c r="X56" s="712">
        <f>-'Credit sensitivity'!AB5</f>
        <v>0</v>
      </c>
      <c r="Y56" s="712">
        <f>-'Credit sensitivity'!AC5</f>
        <v>0</v>
      </c>
      <c r="Z56" s="712">
        <f>-'Credit sensitivity'!AD5</f>
        <v>0</v>
      </c>
      <c r="AA56" s="712">
        <f>-'Credit sensitivity'!AE5</f>
        <v>0</v>
      </c>
      <c r="AB56" s="712">
        <f>-'Credit sensitivity'!AF5</f>
        <v>0</v>
      </c>
      <c r="AC56" s="712">
        <f>-'Credit sensitivity'!AG5</f>
        <v>0</v>
      </c>
      <c r="AD56" s="712">
        <f>-'Credit sensitivity'!AH5</f>
        <v>0</v>
      </c>
      <c r="AE56" s="712">
        <f>-'Credit sensitivity'!AI5</f>
        <v>0</v>
      </c>
      <c r="AF56" s="712">
        <f>-'Credit sensitivity'!AJ5</f>
        <v>0</v>
      </c>
      <c r="AG56" s="188"/>
      <c r="AH56" s="188"/>
      <c r="AI56" s="188"/>
      <c r="AJ56" s="188"/>
      <c r="AK56" s="188"/>
      <c r="AL56" s="188"/>
    </row>
    <row r="57" spans="1:93" s="154" customFormat="1">
      <c r="A57" s="59" t="str">
        <f>'Calc A'!A57</f>
        <v>Total Gastos Financieros</v>
      </c>
      <c r="B57" s="58"/>
      <c r="C57" s="59">
        <f>-'Credit sensitivity'!G6</f>
        <v>-2919.8666666666668</v>
      </c>
      <c r="D57" s="59">
        <f>-'Credit sensitivity'!H6</f>
        <v>-2928</v>
      </c>
      <c r="E57" s="59">
        <f>-'Credit sensitivity'!I6</f>
        <v>-2928</v>
      </c>
      <c r="F57" s="59">
        <f>-'Credit sensitivity'!J6</f>
        <v>-4657.7064464996347</v>
      </c>
      <c r="G57" s="59">
        <f>-'Credit sensitivity'!K6</f>
        <v>-4657.7064464996347</v>
      </c>
      <c r="H57" s="59">
        <f>-'Credit sensitivity'!L6</f>
        <v>-4657.7064464996347</v>
      </c>
      <c r="I57" s="59">
        <f>-'Credit sensitivity'!M6</f>
        <v>-4657.7064464996347</v>
      </c>
      <c r="J57" s="59">
        <f>-'Credit sensitivity'!N6</f>
        <v>-4657.7064464996347</v>
      </c>
      <c r="K57" s="59">
        <f>-'Credit sensitivity'!O6</f>
        <v>-4657.7064464996347</v>
      </c>
      <c r="L57" s="59">
        <f>-'Credit sensitivity'!P6</f>
        <v>-4657.7064464996347</v>
      </c>
      <c r="M57" s="59">
        <f>-'Credit sensitivity'!Q6</f>
        <v>-4657.7064464996347</v>
      </c>
      <c r="N57" s="59">
        <f>-'Credit sensitivity'!R6</f>
        <v>-4657.7064464996347</v>
      </c>
      <c r="O57" s="59">
        <f>-'Credit sensitivity'!S6</f>
        <v>-4657.7064464996347</v>
      </c>
      <c r="P57" s="59">
        <f>-'Credit sensitivity'!T6</f>
        <v>-4657.7064464996347</v>
      </c>
      <c r="Q57" s="59">
        <f>-'Credit sensitivity'!U6</f>
        <v>-4657.7064464996347</v>
      </c>
      <c r="R57" s="59">
        <f>-'Credit sensitivity'!V6</f>
        <v>-4657.7064464996347</v>
      </c>
      <c r="S57" s="59">
        <f>-'Credit sensitivity'!W6</f>
        <v>-4657.7064464996347</v>
      </c>
      <c r="T57" s="59">
        <f>-'Credit sensitivity'!X6</f>
        <v>-4657.7064464996347</v>
      </c>
      <c r="U57" s="59">
        <f>-'Credit sensitivity'!Y6</f>
        <v>-4657.7064464996347</v>
      </c>
      <c r="V57" s="59">
        <f>-'Credit sensitivity'!Z6</f>
        <v>-2955.663113012552</v>
      </c>
      <c r="W57" s="59">
        <f>-'Credit sensitivity'!AA6</f>
        <v>0</v>
      </c>
      <c r="X57" s="59">
        <f>-'Credit sensitivity'!AB6</f>
        <v>0</v>
      </c>
      <c r="Y57" s="59">
        <f>-'Credit sensitivity'!AC6</f>
        <v>0</v>
      </c>
      <c r="Z57" s="59">
        <f>-'Credit sensitivity'!AD6</f>
        <v>0</v>
      </c>
      <c r="AA57" s="59">
        <f>-'Credit sensitivity'!AE6</f>
        <v>0</v>
      </c>
      <c r="AB57" s="59">
        <f>-'Credit sensitivity'!AF6</f>
        <v>0</v>
      </c>
      <c r="AC57" s="59">
        <f>-'Credit sensitivity'!AG6</f>
        <v>0</v>
      </c>
      <c r="AD57" s="59">
        <f>-'Credit sensitivity'!AH6</f>
        <v>0</v>
      </c>
      <c r="AE57" s="59">
        <f>-'Credit sensitivity'!AI6</f>
        <v>0</v>
      </c>
      <c r="AF57" s="59">
        <f>-'Credit sensitivity'!AJ6</f>
        <v>0</v>
      </c>
      <c r="AG57" s="152"/>
      <c r="AH57" s="152"/>
      <c r="AI57" s="152"/>
      <c r="AJ57" s="153"/>
      <c r="AK57" s="153"/>
      <c r="AL57" s="153"/>
    </row>
    <row r="58" spans="1:93">
      <c r="A58" s="4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H58" s="11"/>
    </row>
    <row r="59" spans="1:93" s="135" customFormat="1">
      <c r="A59" s="133" t="str">
        <f>'Calc A'!A59</f>
        <v>Ingresos</v>
      </c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</row>
    <row r="60" spans="1:93" s="143" customFormat="1">
      <c r="A60" s="249" t="str">
        <f>'Calc A'!A60</f>
        <v>Ingresos por Venta/Ahorro Electricidad</v>
      </c>
      <c r="B60" s="244">
        <f>'Calc A'!B60</f>
        <v>0</v>
      </c>
      <c r="C60" s="244">
        <f>IF(C41&gt;$B$9,0,IF($B$9&lt;C41,0,B25))</f>
        <v>4905.6000000000004</v>
      </c>
      <c r="D60" s="244">
        <f>'Calc A'!D60*($B25/'Calc A'!$B25)</f>
        <v>5042.662464</v>
      </c>
      <c r="E60" s="244">
        <f>'Calc A'!E60*($B25/'Calc A'!$B25)</f>
        <v>5183.5544532441609</v>
      </c>
      <c r="F60" s="244">
        <f>'Calc A'!F60*($B25/'Calc A'!$B25)</f>
        <v>5328.3829646678023</v>
      </c>
      <c r="G60" s="244">
        <f>'Calc A'!G60*($B25/'Calc A'!$B25)</f>
        <v>5477.25798470062</v>
      </c>
      <c r="H60" s="244">
        <f>'Calc A'!H60*($B25/'Calc A'!$B25)</f>
        <v>5630.2925727931552</v>
      </c>
      <c r="I60" s="244">
        <f>'Calc A'!I60*($B25/'Calc A'!$B25)</f>
        <v>5787.602947276996</v>
      </c>
      <c r="J60" s="244">
        <f>'Calc A'!J60*($B25/'Calc A'!$B25)</f>
        <v>5949.3085736239163</v>
      </c>
      <c r="K60" s="244">
        <f>'Calc A'!K60*($B25/'Calc A'!$B25)</f>
        <v>6115.5322551709678</v>
      </c>
      <c r="L60" s="244">
        <f>'Calc A'!L60*($B25/'Calc A'!$B25)</f>
        <v>6286.4002263804441</v>
      </c>
      <c r="M60" s="244">
        <f>'Calc A'!M60*($B25/'Calc A'!$B25)</f>
        <v>6462.0422487055139</v>
      </c>
      <c r="N60" s="244">
        <f>'Calc A'!N60*($B25/'Calc A'!$B25)</f>
        <v>6642.5917091343454</v>
      </c>
      <c r="O60" s="244">
        <f>'Calc A'!O60*($B25/'Calc A'!$B25)</f>
        <v>6828.1857214875581</v>
      </c>
      <c r="P60" s="244">
        <f>'Calc A'!P60*($B25/'Calc A'!$B25)</f>
        <v>7018.9652305459203</v>
      </c>
      <c r="Q60" s="244">
        <f>'Calc A'!Q60*($B25/'Calc A'!$B25)</f>
        <v>7215.0751190873743</v>
      </c>
      <c r="R60" s="244">
        <f>'Calc A'!R60*($B25/'Calc A'!$B25)</f>
        <v>7416.6643179146758</v>
      </c>
      <c r="S60" s="244">
        <f>'Calc A'!S60*($B25/'Calc A'!$B25)</f>
        <v>7623.8859189572104</v>
      </c>
      <c r="T60" s="244">
        <f>'Calc A'!T60*($B25/'Calc A'!$B25)</f>
        <v>7836.8972915328741</v>
      </c>
      <c r="U60" s="244">
        <f>'Calc A'!U60*($B25/'Calc A'!$B25)</f>
        <v>8055.8602018583033</v>
      </c>
      <c r="V60" s="244">
        <f>'Calc A'!V60*($B25/'Calc A'!$B25)</f>
        <v>8280.9409358982248</v>
      </c>
      <c r="W60" s="244">
        <f>'Calc A'!W60*($B25/'Calc A'!$B25)</f>
        <v>8512.3104256472216</v>
      </c>
      <c r="X60" s="244">
        <f>'Calc A'!X60*($B25/'Calc A'!$B25)</f>
        <v>8750.1443789398036</v>
      </c>
      <c r="Y60" s="244">
        <f>'Calc A'!Y60*($B25/'Calc A'!$B25)</f>
        <v>8994.6234128873821</v>
      </c>
      <c r="Z60" s="244">
        <f>'Calc A'!Z60*($B25/'Calc A'!$B25)</f>
        <v>9245.9331910434576</v>
      </c>
      <c r="AA60" s="244">
        <f>'Calc A'!AA60*($B25/'Calc A'!$B25)</f>
        <v>9504.26456440121</v>
      </c>
      <c r="AB60" s="244">
        <f>'Calc A'!AB60*($B25/'Calc A'!$B25)</f>
        <v>0</v>
      </c>
      <c r="AC60" s="244">
        <f>'Calc A'!AC60*($B25/'Calc A'!$B25)</f>
        <v>0</v>
      </c>
      <c r="AD60" s="244">
        <f>'Calc A'!AD60*($B25/'Calc A'!$B25)</f>
        <v>0</v>
      </c>
      <c r="AE60" s="244">
        <f>'Calc A'!AE60*($B25/'Calc A'!$B25)</f>
        <v>0</v>
      </c>
      <c r="AF60" s="244">
        <f>'Calc A'!AF60*($B25/'Calc A'!$B25)</f>
        <v>0</v>
      </c>
      <c r="AG60" s="142"/>
    </row>
    <row r="61" spans="1:93" s="189" customFormat="1">
      <c r="A61" s="161" t="str">
        <f>'Calc A'!A61</f>
        <v>Ahorro en Combustibles/Electricidad (ver hoja)</v>
      </c>
      <c r="B61" s="53">
        <f>'Calc A'!B61</f>
        <v>0</v>
      </c>
      <c r="C61" s="53">
        <f>'Calc A'!C61</f>
        <v>0</v>
      </c>
      <c r="D61" s="53">
        <f>'Calc A'!D61</f>
        <v>0</v>
      </c>
      <c r="E61" s="53">
        <f>'Calc A'!E61</f>
        <v>0</v>
      </c>
      <c r="F61" s="53">
        <f>'Calc A'!F61</f>
        <v>0</v>
      </c>
      <c r="G61" s="53">
        <f>'Calc A'!G61</f>
        <v>0</v>
      </c>
      <c r="H61" s="53">
        <f>'Calc A'!H61</f>
        <v>0</v>
      </c>
      <c r="I61" s="53">
        <f>'Calc A'!I61</f>
        <v>0</v>
      </c>
      <c r="J61" s="53">
        <f>'Calc A'!J61</f>
        <v>0</v>
      </c>
      <c r="K61" s="53">
        <f>'Calc A'!K61</f>
        <v>0</v>
      </c>
      <c r="L61" s="53">
        <f>'Calc A'!L61</f>
        <v>0</v>
      </c>
      <c r="M61" s="53">
        <f>'Calc A'!M61</f>
        <v>0</v>
      </c>
      <c r="N61" s="53">
        <f>'Calc A'!N61</f>
        <v>0</v>
      </c>
      <c r="O61" s="53">
        <f>'Calc A'!O61</f>
        <v>0</v>
      </c>
      <c r="P61" s="53">
        <f>'Calc A'!P61</f>
        <v>0</v>
      </c>
      <c r="Q61" s="53">
        <f>'Calc A'!Q61</f>
        <v>0</v>
      </c>
      <c r="R61" s="53">
        <f>'Calc A'!R61</f>
        <v>0</v>
      </c>
      <c r="S61" s="53">
        <f>'Calc A'!S61</f>
        <v>0</v>
      </c>
      <c r="T61" s="53">
        <f>'Calc A'!T61</f>
        <v>0</v>
      </c>
      <c r="U61" s="53">
        <f>'Calc A'!U61</f>
        <v>0</v>
      </c>
      <c r="V61" s="53">
        <f>'Calc A'!V61</f>
        <v>0</v>
      </c>
      <c r="W61" s="53">
        <f>'Calc A'!W61</f>
        <v>0</v>
      </c>
      <c r="X61" s="53">
        <f>'Calc A'!X61</f>
        <v>0</v>
      </c>
      <c r="Y61" s="53">
        <f>'Calc A'!Y61</f>
        <v>0</v>
      </c>
      <c r="Z61" s="53">
        <f>'Calc A'!Z61</f>
        <v>0</v>
      </c>
      <c r="AA61" s="53">
        <f>'Calc A'!AA61</f>
        <v>0</v>
      </c>
      <c r="AB61" s="53">
        <f>'Calc A'!AB61</f>
        <v>0</v>
      </c>
      <c r="AC61" s="53">
        <f>'Calc A'!AC61</f>
        <v>0</v>
      </c>
      <c r="AD61" s="53">
        <f>'Calc A'!AD61</f>
        <v>0</v>
      </c>
      <c r="AE61" s="53">
        <f>'Calc A'!AE61</f>
        <v>0</v>
      </c>
      <c r="AF61" s="53">
        <f>'Calc A'!AF61</f>
        <v>0</v>
      </c>
      <c r="AG61" s="188"/>
    </row>
    <row r="62" spans="1:93" s="189" customFormat="1">
      <c r="A62" s="247" t="str">
        <f>'Calc A'!A62</f>
        <v>Otros Ingresos (Costos Conexión, etc)</v>
      </c>
      <c r="B62" s="243">
        <f>'Calc A'!B62</f>
        <v>0</v>
      </c>
      <c r="C62" s="243">
        <f>'Calc A'!C62</f>
        <v>0</v>
      </c>
      <c r="D62" s="243">
        <f>'Calc A'!D62</f>
        <v>0</v>
      </c>
      <c r="E62" s="243">
        <f>'Calc A'!E62</f>
        <v>0</v>
      </c>
      <c r="F62" s="243">
        <f>'Calc A'!F62</f>
        <v>0</v>
      </c>
      <c r="G62" s="243">
        <f>'Calc A'!G62</f>
        <v>0</v>
      </c>
      <c r="H62" s="243">
        <f>'Calc A'!H62</f>
        <v>0</v>
      </c>
      <c r="I62" s="243">
        <f>'Calc A'!I62</f>
        <v>0</v>
      </c>
      <c r="J62" s="243">
        <f>'Calc A'!J62</f>
        <v>0</v>
      </c>
      <c r="K62" s="243">
        <f>'Calc A'!K62</f>
        <v>0</v>
      </c>
      <c r="L62" s="243">
        <f>'Calc A'!L62</f>
        <v>0</v>
      </c>
      <c r="M62" s="243">
        <f>'Calc A'!M62</f>
        <v>0</v>
      </c>
      <c r="N62" s="243">
        <f>'Calc A'!N62</f>
        <v>0</v>
      </c>
      <c r="O62" s="243">
        <f>'Calc A'!O62</f>
        <v>0</v>
      </c>
      <c r="P62" s="243">
        <f>'Calc A'!P62</f>
        <v>0</v>
      </c>
      <c r="Q62" s="243">
        <f>'Calc A'!Q62</f>
        <v>0</v>
      </c>
      <c r="R62" s="243">
        <f>'Calc A'!R62</f>
        <v>0</v>
      </c>
      <c r="S62" s="243">
        <f>'Calc A'!S62</f>
        <v>0</v>
      </c>
      <c r="T62" s="243">
        <f>'Calc A'!T62</f>
        <v>0</v>
      </c>
      <c r="U62" s="243">
        <f>'Calc A'!U62</f>
        <v>0</v>
      </c>
      <c r="V62" s="243">
        <f>'Calc A'!V62</f>
        <v>0</v>
      </c>
      <c r="W62" s="243">
        <f>'Calc A'!W62</f>
        <v>0</v>
      </c>
      <c r="X62" s="243">
        <f>'Calc A'!X62</f>
        <v>0</v>
      </c>
      <c r="Y62" s="243">
        <f>'Calc A'!Y62</f>
        <v>0</v>
      </c>
      <c r="Z62" s="243">
        <f>'Calc A'!Z62</f>
        <v>0</v>
      </c>
      <c r="AA62" s="243">
        <f>'Calc A'!AA62</f>
        <v>0</v>
      </c>
      <c r="AB62" s="243">
        <f>'Calc A'!AB62</f>
        <v>0</v>
      </c>
      <c r="AC62" s="243">
        <f>'Calc A'!AC62</f>
        <v>0</v>
      </c>
      <c r="AD62" s="243">
        <f>'Calc A'!AD62</f>
        <v>0</v>
      </c>
      <c r="AE62" s="243">
        <f>'Calc A'!AE62</f>
        <v>0</v>
      </c>
      <c r="AF62" s="243">
        <f>'Calc A'!AF62</f>
        <v>0</v>
      </c>
      <c r="AG62" s="188"/>
    </row>
    <row r="63" spans="1:93" s="189" customFormat="1">
      <c r="A63" s="157" t="str">
        <f>'Calc A'!A63</f>
        <v>Subvenciones</v>
      </c>
      <c r="B63" s="158">
        <f>'Calc A'!B63</f>
        <v>0</v>
      </c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88"/>
    </row>
    <row r="64" spans="1:93" s="143" customFormat="1">
      <c r="A64" s="733" t="str">
        <f>'Calc A'!A64</f>
        <v>Valor Residual (Después de Vida Útil)</v>
      </c>
      <c r="B64" s="243"/>
      <c r="C64" s="243">
        <f>'Calc A'!C64</f>
        <v>0</v>
      </c>
      <c r="D64" s="243">
        <f>'Calc A'!D64</f>
        <v>0</v>
      </c>
      <c r="E64" s="243">
        <f>'Calc A'!E64</f>
        <v>0</v>
      </c>
      <c r="F64" s="243">
        <f>'Calc A'!F64</f>
        <v>0</v>
      </c>
      <c r="G64" s="243">
        <f>'Calc A'!G64</f>
        <v>0</v>
      </c>
      <c r="H64" s="243">
        <f>'Calc A'!H64</f>
        <v>0</v>
      </c>
      <c r="I64" s="243">
        <f>'Calc A'!I64</f>
        <v>0</v>
      </c>
      <c r="J64" s="243">
        <f>'Calc A'!J64</f>
        <v>0</v>
      </c>
      <c r="K64" s="243">
        <f>'Calc A'!K64</f>
        <v>0</v>
      </c>
      <c r="L64" s="243">
        <f>'Calc A'!L64</f>
        <v>0</v>
      </c>
      <c r="M64" s="243">
        <f>'Calc A'!M64</f>
        <v>0</v>
      </c>
      <c r="N64" s="243">
        <f>'Calc A'!N64</f>
        <v>0</v>
      </c>
      <c r="O64" s="243">
        <f>'Calc A'!O64</f>
        <v>0</v>
      </c>
      <c r="P64" s="243">
        <f>'Calc A'!P64</f>
        <v>0</v>
      </c>
      <c r="Q64" s="243">
        <f>'Calc A'!Q64</f>
        <v>0</v>
      </c>
      <c r="R64" s="243">
        <f>'Calc A'!R64</f>
        <v>0</v>
      </c>
      <c r="S64" s="243">
        <f>'Calc A'!S64</f>
        <v>0</v>
      </c>
      <c r="T64" s="243">
        <f>'Calc A'!T64</f>
        <v>0</v>
      </c>
      <c r="U64" s="243">
        <f>'Calc A'!U64</f>
        <v>0</v>
      </c>
      <c r="V64" s="243">
        <f>'Calc A'!V64</f>
        <v>0</v>
      </c>
      <c r="W64" s="243">
        <f>'Calc A'!W64</f>
        <v>0</v>
      </c>
      <c r="X64" s="243">
        <f>'Calc A'!X64</f>
        <v>0</v>
      </c>
      <c r="Y64" s="243">
        <f>'Calc A'!Y64</f>
        <v>0</v>
      </c>
      <c r="Z64" s="243">
        <f>'Calc A'!Z64</f>
        <v>0</v>
      </c>
      <c r="AA64" s="243">
        <f>'Calc A'!AA64</f>
        <v>0</v>
      </c>
      <c r="AB64" s="243">
        <f>'Calc A'!AB64</f>
        <v>0</v>
      </c>
      <c r="AC64" s="243">
        <f>'Calc A'!AC64</f>
        <v>0</v>
      </c>
      <c r="AD64" s="243">
        <f>'Calc A'!AD64</f>
        <v>0</v>
      </c>
      <c r="AE64" s="243">
        <f>'Calc A'!AE64</f>
        <v>0</v>
      </c>
      <c r="AF64" s="243">
        <f>'Calc A'!AF64</f>
        <v>0</v>
      </c>
      <c r="AG64" s="142"/>
    </row>
    <row r="65" spans="1:107" s="154" customFormat="1">
      <c r="A65" s="59" t="str">
        <f>'Calc A'!A65</f>
        <v>Total Ingresos</v>
      </c>
      <c r="B65" s="58" t="str">
        <f>IF('Calc A'!B65="","",'Calc A'!B65)</f>
        <v/>
      </c>
      <c r="C65" s="59">
        <f t="shared" ref="C65:V65" si="14">IF($B$9&lt;C41,0,SUM(C60:C64))</f>
        <v>4905.6000000000004</v>
      </c>
      <c r="D65" s="59">
        <f t="shared" si="14"/>
        <v>5042.662464</v>
      </c>
      <c r="E65" s="59">
        <f t="shared" si="14"/>
        <v>5183.5544532441609</v>
      </c>
      <c r="F65" s="59">
        <f t="shared" si="14"/>
        <v>5328.3829646678023</v>
      </c>
      <c r="G65" s="59">
        <f t="shared" si="14"/>
        <v>5477.25798470062</v>
      </c>
      <c r="H65" s="59">
        <f t="shared" si="14"/>
        <v>5630.2925727931552</v>
      </c>
      <c r="I65" s="59">
        <f t="shared" si="14"/>
        <v>5787.602947276996</v>
      </c>
      <c r="J65" s="59">
        <f t="shared" si="14"/>
        <v>5949.3085736239163</v>
      </c>
      <c r="K65" s="59">
        <f t="shared" si="14"/>
        <v>6115.5322551709678</v>
      </c>
      <c r="L65" s="59">
        <f t="shared" si="14"/>
        <v>6286.4002263804441</v>
      </c>
      <c r="M65" s="59">
        <f t="shared" si="14"/>
        <v>6462.0422487055139</v>
      </c>
      <c r="N65" s="59">
        <f t="shared" si="14"/>
        <v>6642.5917091343454</v>
      </c>
      <c r="O65" s="59">
        <f t="shared" si="14"/>
        <v>6828.1857214875581</v>
      </c>
      <c r="P65" s="59">
        <f t="shared" si="14"/>
        <v>7018.9652305459203</v>
      </c>
      <c r="Q65" s="59">
        <f t="shared" si="14"/>
        <v>7215.0751190873743</v>
      </c>
      <c r="R65" s="59">
        <f t="shared" si="14"/>
        <v>7416.6643179146758</v>
      </c>
      <c r="S65" s="59">
        <f t="shared" si="14"/>
        <v>7623.8859189572104</v>
      </c>
      <c r="T65" s="59">
        <f t="shared" si="14"/>
        <v>7836.8972915328741</v>
      </c>
      <c r="U65" s="59">
        <f t="shared" si="14"/>
        <v>8055.8602018583033</v>
      </c>
      <c r="V65" s="59">
        <f t="shared" si="14"/>
        <v>8280.9409358982248</v>
      </c>
      <c r="W65" s="59">
        <f t="shared" ref="W65:AF65" si="15">IF($B$9&lt;W41,0,SUM(W60:W64))</f>
        <v>8512.3104256472216</v>
      </c>
      <c r="X65" s="59">
        <f t="shared" si="15"/>
        <v>8750.1443789398036</v>
      </c>
      <c r="Y65" s="59">
        <f t="shared" si="15"/>
        <v>8994.6234128873821</v>
      </c>
      <c r="Z65" s="59">
        <f t="shared" si="15"/>
        <v>9245.9331910434576</v>
      </c>
      <c r="AA65" s="59">
        <f t="shared" si="15"/>
        <v>9504.26456440121</v>
      </c>
      <c r="AB65" s="59">
        <f t="shared" si="15"/>
        <v>0</v>
      </c>
      <c r="AC65" s="59">
        <f t="shared" si="15"/>
        <v>0</v>
      </c>
      <c r="AD65" s="59">
        <f t="shared" si="15"/>
        <v>0</v>
      </c>
      <c r="AE65" s="59">
        <f t="shared" si="15"/>
        <v>0</v>
      </c>
      <c r="AF65" s="59">
        <f t="shared" si="15"/>
        <v>0</v>
      </c>
      <c r="AG65" s="152"/>
      <c r="AH65" s="152"/>
      <c r="AI65" s="152"/>
      <c r="AJ65" s="153"/>
      <c r="AK65" s="153"/>
      <c r="AL65" s="153"/>
    </row>
    <row r="66" spans="1:107" s="189" customFormat="1">
      <c r="A66" s="158" t="str">
        <f>'Calc A'!A66</f>
        <v>Depreciación</v>
      </c>
      <c r="B66" s="52" t="str">
        <f>IF('Calc A'!B66="","",'Calc A'!B66)</f>
        <v/>
      </c>
      <c r="C66" s="53">
        <f>IF($B$9&lt;C41,0,($B$21-$B$18-$B19)/$B$9)+B18</f>
        <v>-2440</v>
      </c>
      <c r="D66" s="53">
        <f t="shared" ref="D66:V66" si="16">IF($B$9&lt;D41,0,($B$21-$B$18-$B19)/$B$9)</f>
        <v>-2440</v>
      </c>
      <c r="E66" s="53">
        <f t="shared" si="16"/>
        <v>-2440</v>
      </c>
      <c r="F66" s="53">
        <f t="shared" si="16"/>
        <v>-2440</v>
      </c>
      <c r="G66" s="53">
        <f t="shared" si="16"/>
        <v>-2440</v>
      </c>
      <c r="H66" s="53">
        <f t="shared" si="16"/>
        <v>-2440</v>
      </c>
      <c r="I66" s="53">
        <f t="shared" si="16"/>
        <v>-2440</v>
      </c>
      <c r="J66" s="53">
        <f t="shared" si="16"/>
        <v>-2440</v>
      </c>
      <c r="K66" s="53">
        <f t="shared" si="16"/>
        <v>-2440</v>
      </c>
      <c r="L66" s="53">
        <f t="shared" si="16"/>
        <v>-2440</v>
      </c>
      <c r="M66" s="53">
        <f t="shared" si="16"/>
        <v>-2440</v>
      </c>
      <c r="N66" s="53">
        <f t="shared" si="16"/>
        <v>-2440</v>
      </c>
      <c r="O66" s="53">
        <f t="shared" si="16"/>
        <v>-2440</v>
      </c>
      <c r="P66" s="53">
        <f t="shared" si="16"/>
        <v>-2440</v>
      </c>
      <c r="Q66" s="53">
        <f t="shared" si="16"/>
        <v>-2440</v>
      </c>
      <c r="R66" s="53">
        <f t="shared" si="16"/>
        <v>-2440</v>
      </c>
      <c r="S66" s="53">
        <f t="shared" si="16"/>
        <v>-2440</v>
      </c>
      <c r="T66" s="53">
        <f t="shared" si="16"/>
        <v>-2440</v>
      </c>
      <c r="U66" s="53">
        <f t="shared" si="16"/>
        <v>-2440</v>
      </c>
      <c r="V66" s="53">
        <f t="shared" si="16"/>
        <v>-2440</v>
      </c>
      <c r="W66" s="53">
        <f t="shared" ref="W66:AF66" si="17">IF($B$9&lt;W41,0,($B$21-$B$18-$B19)/$B$9)</f>
        <v>-2440</v>
      </c>
      <c r="X66" s="53">
        <f t="shared" si="17"/>
        <v>-2440</v>
      </c>
      <c r="Y66" s="53">
        <f t="shared" si="17"/>
        <v>-2440</v>
      </c>
      <c r="Z66" s="53">
        <f t="shared" si="17"/>
        <v>-2440</v>
      </c>
      <c r="AA66" s="53">
        <f t="shared" si="17"/>
        <v>-2440</v>
      </c>
      <c r="AB66" s="53">
        <f t="shared" si="17"/>
        <v>0</v>
      </c>
      <c r="AC66" s="53">
        <f t="shared" si="17"/>
        <v>0</v>
      </c>
      <c r="AD66" s="53">
        <f t="shared" si="17"/>
        <v>0</v>
      </c>
      <c r="AE66" s="53">
        <f t="shared" si="17"/>
        <v>0</v>
      </c>
      <c r="AF66" s="53">
        <f t="shared" si="17"/>
        <v>0</v>
      </c>
      <c r="AG66" s="188"/>
    </row>
    <row r="67" spans="1:107" s="151" customFormat="1">
      <c r="A67" s="243" t="str">
        <f>'Calc A'!A67</f>
        <v>Resultado Operacional antes de Impuestos</v>
      </c>
      <c r="B67" s="243"/>
      <c r="C67" s="243">
        <f>C65+C50+C55+C66</f>
        <v>-1674.2666666666664</v>
      </c>
      <c r="D67" s="243">
        <f t="shared" ref="D67:V67" si="18">D65+D50+D55+D66</f>
        <v>-1581.9375360000004</v>
      </c>
      <c r="E67" s="243">
        <f t="shared" si="18"/>
        <v>-1478.7435467558394</v>
      </c>
      <c r="F67" s="243">
        <f t="shared" si="18"/>
        <v>-1333.4349368956791</v>
      </c>
      <c r="G67" s="243">
        <f t="shared" si="18"/>
        <v>-1116.0006537965742</v>
      </c>
      <c r="H67" s="243">
        <f t="shared" si="18"/>
        <v>-888.94541499960178</v>
      </c>
      <c r="I67" s="243">
        <f t="shared" si="18"/>
        <v>-651.78024160151517</v>
      </c>
      <c r="J67" s="243">
        <f t="shared" si="18"/>
        <v>-403.98890473362326</v>
      </c>
      <c r="K67" s="243">
        <f t="shared" si="18"/>
        <v>-145.02632807072678</v>
      </c>
      <c r="L67" s="243">
        <f t="shared" si="18"/>
        <v>125.68310567134949</v>
      </c>
      <c r="M67" s="243">
        <f t="shared" si="18"/>
        <v>408.74735008696007</v>
      </c>
      <c r="N67" s="243">
        <f t="shared" si="18"/>
        <v>704.80859847470447</v>
      </c>
      <c r="O67" s="243">
        <f t="shared" si="18"/>
        <v>1014.5453018470471</v>
      </c>
      <c r="P67" s="243">
        <f t="shared" si="18"/>
        <v>1338.6743085299904</v>
      </c>
      <c r="Q67" s="243">
        <f t="shared" si="18"/>
        <v>1677.953132753717</v>
      </c>
      <c r="R67" s="243">
        <f t="shared" si="18"/>
        <v>2033.1823600876269</v>
      </c>
      <c r="S67" s="243">
        <f t="shared" si="18"/>
        <v>2405.2081980534786</v>
      </c>
      <c r="T67" s="243">
        <f t="shared" si="18"/>
        <v>2794.9251807600212</v>
      </c>
      <c r="U67" s="243">
        <f t="shared" si="18"/>
        <v>3203.2790369433742</v>
      </c>
      <c r="V67" s="243">
        <f t="shared" si="18"/>
        <v>3618.130993062472</v>
      </c>
      <c r="W67" s="243">
        <f t="shared" ref="W67:AF67" si="19">W65+W50+W57+W66</f>
        <v>3868.8547193505347</v>
      </c>
      <c r="X67" s="243">
        <f t="shared" si="19"/>
        <v>4040.5850014542166</v>
      </c>
      <c r="Y67" s="243">
        <f t="shared" si="19"/>
        <v>4216.9772540772274</v>
      </c>
      <c r="Z67" s="243">
        <f t="shared" si="19"/>
        <v>4398.1576474689982</v>
      </c>
      <c r="AA67" s="243">
        <f t="shared" si="19"/>
        <v>4584.2557545195168</v>
      </c>
      <c r="AB67" s="243">
        <f t="shared" si="19"/>
        <v>0</v>
      </c>
      <c r="AC67" s="243">
        <f t="shared" si="19"/>
        <v>0</v>
      </c>
      <c r="AD67" s="243">
        <f t="shared" si="19"/>
        <v>0</v>
      </c>
      <c r="AE67" s="243">
        <f t="shared" si="19"/>
        <v>0</v>
      </c>
      <c r="AF67" s="243">
        <f t="shared" si="19"/>
        <v>0</v>
      </c>
      <c r="AG67" s="149"/>
    </row>
    <row r="68" spans="1:107" s="189" customFormat="1">
      <c r="A68" s="52" t="str">
        <f>'Calc A'!A68</f>
        <v>Impuestos (%) sobre Utilidades</v>
      </c>
      <c r="B68" s="52"/>
      <c r="C68" s="52">
        <f>IF(C67&gt;$B$11,(-C67+$B11)*$B10,0)</f>
        <v>0</v>
      </c>
      <c r="D68" s="52">
        <f t="shared" ref="D68:V68" si="20">IF(D67&gt;$B$11,(-D67+$B11)*$B10,0)</f>
        <v>0</v>
      </c>
      <c r="E68" s="52">
        <f t="shared" si="20"/>
        <v>0</v>
      </c>
      <c r="F68" s="52">
        <f t="shared" si="20"/>
        <v>0</v>
      </c>
      <c r="G68" s="52">
        <f t="shared" si="20"/>
        <v>0</v>
      </c>
      <c r="H68" s="52">
        <f t="shared" si="20"/>
        <v>0</v>
      </c>
      <c r="I68" s="52">
        <f t="shared" si="20"/>
        <v>0</v>
      </c>
      <c r="J68" s="52">
        <f t="shared" si="20"/>
        <v>0</v>
      </c>
      <c r="K68" s="52">
        <f t="shared" si="20"/>
        <v>0</v>
      </c>
      <c r="L68" s="52">
        <f t="shared" si="20"/>
        <v>-26.393452190983393</v>
      </c>
      <c r="M68" s="52">
        <f t="shared" si="20"/>
        <v>-85.836943518261606</v>
      </c>
      <c r="N68" s="52">
        <f t="shared" si="20"/>
        <v>-148.00980567968793</v>
      </c>
      <c r="O68" s="52">
        <f t="shared" si="20"/>
        <v>-213.05451338787989</v>
      </c>
      <c r="P68" s="52">
        <f t="shared" si="20"/>
        <v>-281.12160479129795</v>
      </c>
      <c r="Q68" s="52">
        <f t="shared" si="20"/>
        <v>-352.37015787828057</v>
      </c>
      <c r="R68" s="52">
        <f t="shared" si="20"/>
        <v>-426.96829561840161</v>
      </c>
      <c r="S68" s="52">
        <f t="shared" si="20"/>
        <v>-505.09372159123046</v>
      </c>
      <c r="T68" s="52">
        <f t="shared" si="20"/>
        <v>-586.93428795960449</v>
      </c>
      <c r="U68" s="52">
        <f t="shared" si="20"/>
        <v>-672.68859775810859</v>
      </c>
      <c r="V68" s="52">
        <f t="shared" si="20"/>
        <v>-759.80750854311907</v>
      </c>
      <c r="W68" s="52">
        <f t="shared" ref="W68:AF68" si="21">IF(W67&gt;$B$11,(-W67+$B11)*$B10,0)</f>
        <v>-812.45949106361229</v>
      </c>
      <c r="X68" s="52">
        <f t="shared" si="21"/>
        <v>-848.52285030538542</v>
      </c>
      <c r="Y68" s="52">
        <f t="shared" si="21"/>
        <v>-885.56522335621776</v>
      </c>
      <c r="Z68" s="52">
        <f t="shared" si="21"/>
        <v>-923.61310596848955</v>
      </c>
      <c r="AA68" s="52">
        <f t="shared" si="21"/>
        <v>-962.69370844909849</v>
      </c>
      <c r="AB68" s="52">
        <f t="shared" si="21"/>
        <v>0</v>
      </c>
      <c r="AC68" s="52">
        <f t="shared" si="21"/>
        <v>0</v>
      </c>
      <c r="AD68" s="52">
        <f t="shared" si="21"/>
        <v>0</v>
      </c>
      <c r="AE68" s="52">
        <f t="shared" si="21"/>
        <v>0</v>
      </c>
      <c r="AF68" s="52">
        <f t="shared" si="21"/>
        <v>0</v>
      </c>
      <c r="AG68" s="188"/>
    </row>
    <row r="69" spans="1:107" s="154" customFormat="1">
      <c r="A69" s="59" t="str">
        <f>'Calc A'!A69</f>
        <v>Resultado Operacional después de Impuestos</v>
      </c>
      <c r="B69" s="206">
        <f>B21-B29</f>
        <v>-12200</v>
      </c>
      <c r="C69" s="59">
        <f>SUM(C67:C68)</f>
        <v>-1674.2666666666664</v>
      </c>
      <c r="D69" s="59">
        <f t="shared" ref="D69:V69" si="22">SUM(D67:D68)</f>
        <v>-1581.9375360000004</v>
      </c>
      <c r="E69" s="59">
        <f t="shared" si="22"/>
        <v>-1478.7435467558394</v>
      </c>
      <c r="F69" s="59">
        <f t="shared" si="22"/>
        <v>-1333.4349368956791</v>
      </c>
      <c r="G69" s="59">
        <f t="shared" si="22"/>
        <v>-1116.0006537965742</v>
      </c>
      <c r="H69" s="59">
        <f t="shared" si="22"/>
        <v>-888.94541499960178</v>
      </c>
      <c r="I69" s="59">
        <f t="shared" si="22"/>
        <v>-651.78024160151517</v>
      </c>
      <c r="J69" s="59">
        <f t="shared" si="22"/>
        <v>-403.98890473362326</v>
      </c>
      <c r="K69" s="59">
        <f t="shared" si="22"/>
        <v>-145.02632807072678</v>
      </c>
      <c r="L69" s="59">
        <f t="shared" si="22"/>
        <v>99.289653480366098</v>
      </c>
      <c r="M69" s="59">
        <f t="shared" si="22"/>
        <v>322.91040656869848</v>
      </c>
      <c r="N69" s="59">
        <f t="shared" si="22"/>
        <v>556.79879279501654</v>
      </c>
      <c r="O69" s="59">
        <f t="shared" si="22"/>
        <v>801.49078845916722</v>
      </c>
      <c r="P69" s="59">
        <f t="shared" si="22"/>
        <v>1057.5527037386923</v>
      </c>
      <c r="Q69" s="59">
        <f t="shared" si="22"/>
        <v>1325.5829748754363</v>
      </c>
      <c r="R69" s="59">
        <f t="shared" si="22"/>
        <v>1606.2140644692254</v>
      </c>
      <c r="S69" s="59">
        <f t="shared" si="22"/>
        <v>1900.1144764622481</v>
      </c>
      <c r="T69" s="59">
        <f t="shared" si="22"/>
        <v>2207.990892800417</v>
      </c>
      <c r="U69" s="59">
        <f t="shared" si="22"/>
        <v>2530.5904391852655</v>
      </c>
      <c r="V69" s="59">
        <f t="shared" si="22"/>
        <v>2858.3234845193529</v>
      </c>
      <c r="W69" s="59">
        <f t="shared" ref="W69:AF69" si="23">SUM(W67:W68)</f>
        <v>3056.3952282869222</v>
      </c>
      <c r="X69" s="59">
        <f t="shared" si="23"/>
        <v>3192.0621511488312</v>
      </c>
      <c r="Y69" s="59">
        <f t="shared" si="23"/>
        <v>3331.4120307210096</v>
      </c>
      <c r="Z69" s="59">
        <f t="shared" si="23"/>
        <v>3474.5445415005088</v>
      </c>
      <c r="AA69" s="59">
        <f t="shared" si="23"/>
        <v>3621.5620460704185</v>
      </c>
      <c r="AB69" s="59">
        <f t="shared" si="23"/>
        <v>0</v>
      </c>
      <c r="AC69" s="59">
        <f t="shared" si="23"/>
        <v>0</v>
      </c>
      <c r="AD69" s="59">
        <f t="shared" si="23"/>
        <v>0</v>
      </c>
      <c r="AE69" s="59">
        <f t="shared" si="23"/>
        <v>0</v>
      </c>
      <c r="AF69" s="59">
        <f t="shared" si="23"/>
        <v>0</v>
      </c>
      <c r="AG69" s="152"/>
      <c r="AH69" s="152"/>
      <c r="AI69" s="152"/>
      <c r="AJ69" s="153"/>
      <c r="AK69" s="153"/>
      <c r="AL69" s="153"/>
    </row>
    <row r="70" spans="1:107" s="151" customFormat="1" hidden="1">
      <c r="A70" s="52" t="str">
        <f>'Calc A'!A70</f>
        <v>Resultado Operacional después de Impuestos</v>
      </c>
      <c r="B70" s="53">
        <f>B21</f>
        <v>-61000</v>
      </c>
      <c r="C70" s="53">
        <f>C69</f>
        <v>-1674.2666666666664</v>
      </c>
      <c r="D70" s="53">
        <f t="shared" ref="D70:V70" si="24">D69</f>
        <v>-1581.9375360000004</v>
      </c>
      <c r="E70" s="53">
        <f>E69</f>
        <v>-1478.7435467558394</v>
      </c>
      <c r="F70" s="53">
        <f t="shared" si="24"/>
        <v>-1333.4349368956791</v>
      </c>
      <c r="G70" s="53">
        <f t="shared" si="24"/>
        <v>-1116.0006537965742</v>
      </c>
      <c r="H70" s="53">
        <f t="shared" si="24"/>
        <v>-888.94541499960178</v>
      </c>
      <c r="I70" s="53">
        <f t="shared" si="24"/>
        <v>-651.78024160151517</v>
      </c>
      <c r="J70" s="53">
        <f t="shared" si="24"/>
        <v>-403.98890473362326</v>
      </c>
      <c r="K70" s="53">
        <f t="shared" si="24"/>
        <v>-145.02632807072678</v>
      </c>
      <c r="L70" s="53">
        <f t="shared" si="24"/>
        <v>99.289653480366098</v>
      </c>
      <c r="M70" s="53">
        <f t="shared" si="24"/>
        <v>322.91040656869848</v>
      </c>
      <c r="N70" s="53">
        <f t="shared" si="24"/>
        <v>556.79879279501654</v>
      </c>
      <c r="O70" s="53">
        <f t="shared" si="24"/>
        <v>801.49078845916722</v>
      </c>
      <c r="P70" s="53">
        <f t="shared" si="24"/>
        <v>1057.5527037386923</v>
      </c>
      <c r="Q70" s="53">
        <f t="shared" si="24"/>
        <v>1325.5829748754363</v>
      </c>
      <c r="R70" s="53">
        <f t="shared" si="24"/>
        <v>1606.2140644692254</v>
      </c>
      <c r="S70" s="53">
        <f t="shared" si="24"/>
        <v>1900.1144764622481</v>
      </c>
      <c r="T70" s="53">
        <f t="shared" si="24"/>
        <v>2207.990892800417</v>
      </c>
      <c r="U70" s="53">
        <f t="shared" si="24"/>
        <v>2530.5904391852655</v>
      </c>
      <c r="V70" s="53">
        <f t="shared" si="24"/>
        <v>2858.3234845193529</v>
      </c>
      <c r="W70" s="53">
        <f t="shared" ref="W70:AF70" si="25">W69</f>
        <v>3056.3952282869222</v>
      </c>
      <c r="X70" s="53">
        <f t="shared" si="25"/>
        <v>3192.0621511488312</v>
      </c>
      <c r="Y70" s="53">
        <f t="shared" si="25"/>
        <v>3331.4120307210096</v>
      </c>
      <c r="Z70" s="53">
        <f t="shared" si="25"/>
        <v>3474.5445415005088</v>
      </c>
      <c r="AA70" s="53">
        <f t="shared" si="25"/>
        <v>3621.5620460704185</v>
      </c>
      <c r="AB70" s="53">
        <f t="shared" si="25"/>
        <v>0</v>
      </c>
      <c r="AC70" s="53">
        <f t="shared" si="25"/>
        <v>0</v>
      </c>
      <c r="AD70" s="53">
        <f t="shared" si="25"/>
        <v>0</v>
      </c>
      <c r="AE70" s="53">
        <f t="shared" si="25"/>
        <v>0</v>
      </c>
      <c r="AF70" s="53">
        <f t="shared" si="25"/>
        <v>0</v>
      </c>
      <c r="AG70" s="180"/>
      <c r="AH70" s="180"/>
    </row>
    <row r="71" spans="1:107" s="151" customFormat="1" hidden="1">
      <c r="A71" s="52" t="str">
        <f>'Calc A'!A71</f>
        <v>Resultado Operacional Acumulado después de Impuestos</v>
      </c>
      <c r="B71" s="53">
        <f>-B70</f>
        <v>61000</v>
      </c>
      <c r="C71" s="53">
        <f>IF(C41&lt;=$B$9,C70,0)</f>
        <v>-1674.2666666666664</v>
      </c>
      <c r="D71" s="53">
        <f t="shared" ref="D71:V71" si="26">IF(D41&lt;=$B$9,D70+C71,0)</f>
        <v>-3256.2042026666668</v>
      </c>
      <c r="E71" s="53">
        <f t="shared" si="26"/>
        <v>-4734.9477494225066</v>
      </c>
      <c r="F71" s="53">
        <f t="shared" si="26"/>
        <v>-6068.3826863181857</v>
      </c>
      <c r="G71" s="53">
        <f t="shared" si="26"/>
        <v>-7184.3833401147604</v>
      </c>
      <c r="H71" s="53">
        <f t="shared" si="26"/>
        <v>-8073.3287551143621</v>
      </c>
      <c r="I71" s="53">
        <f t="shared" si="26"/>
        <v>-8725.1089967158769</v>
      </c>
      <c r="J71" s="53">
        <f t="shared" si="26"/>
        <v>-9129.0979014495006</v>
      </c>
      <c r="K71" s="53">
        <f t="shared" si="26"/>
        <v>-9274.1242295202283</v>
      </c>
      <c r="L71" s="53">
        <f t="shared" si="26"/>
        <v>-9174.8345760398624</v>
      </c>
      <c r="M71" s="53">
        <f t="shared" si="26"/>
        <v>-8851.9241694711636</v>
      </c>
      <c r="N71" s="53">
        <f t="shared" si="26"/>
        <v>-8295.1253766761474</v>
      </c>
      <c r="O71" s="53">
        <f t="shared" si="26"/>
        <v>-7493.6345882169799</v>
      </c>
      <c r="P71" s="53">
        <f t="shared" si="26"/>
        <v>-6436.081884478288</v>
      </c>
      <c r="Q71" s="53">
        <f t="shared" si="26"/>
        <v>-5110.4989096028512</v>
      </c>
      <c r="R71" s="53">
        <f t="shared" si="26"/>
        <v>-3504.2848451336258</v>
      </c>
      <c r="S71" s="53">
        <f t="shared" si="26"/>
        <v>-1604.1703686713777</v>
      </c>
      <c r="T71" s="53">
        <f t="shared" si="26"/>
        <v>603.82052412903931</v>
      </c>
      <c r="U71" s="53">
        <f t="shared" si="26"/>
        <v>3134.4109633143048</v>
      </c>
      <c r="V71" s="53">
        <f t="shared" si="26"/>
        <v>5992.7344478336581</v>
      </c>
      <c r="W71" s="53">
        <f t="shared" ref="W71:AF71" si="27">IF(W41&lt;=$B$9,W70+V71,0)</f>
        <v>9049.1296761205813</v>
      </c>
      <c r="X71" s="53">
        <f t="shared" si="27"/>
        <v>12241.191827269413</v>
      </c>
      <c r="Y71" s="53">
        <f t="shared" si="27"/>
        <v>15572.603857990423</v>
      </c>
      <c r="Z71" s="53">
        <f t="shared" si="27"/>
        <v>19047.148399490932</v>
      </c>
      <c r="AA71" s="53">
        <f t="shared" si="27"/>
        <v>22668.710445561352</v>
      </c>
      <c r="AB71" s="53">
        <f t="shared" si="27"/>
        <v>0</v>
      </c>
      <c r="AC71" s="53">
        <f t="shared" si="27"/>
        <v>0</v>
      </c>
      <c r="AD71" s="53">
        <f t="shared" si="27"/>
        <v>0</v>
      </c>
      <c r="AE71" s="53">
        <f t="shared" si="27"/>
        <v>0</v>
      </c>
      <c r="AF71" s="53">
        <f t="shared" si="27"/>
        <v>0</v>
      </c>
      <c r="AG71" s="62"/>
      <c r="AH71" s="176"/>
    </row>
    <row r="72" spans="1:107" s="181" customFormat="1" ht="11.25" hidden="1">
      <c r="A72" s="178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80"/>
      <c r="DC72" s="182"/>
    </row>
    <row r="73" spans="1:107" s="151" customFormat="1" hidden="1">
      <c r="A73" s="52" t="str">
        <f>'Calc A'!A73</f>
        <v>Resultado Operacional Descontado después de Impuestos</v>
      </c>
      <c r="B73" s="53">
        <f>B70</f>
        <v>-61000</v>
      </c>
      <c r="C73" s="20">
        <f t="shared" ref="C73:V73" si="28">C69/(1+$B$6)^C41</f>
        <v>-1522.0606060606058</v>
      </c>
      <c r="D73" s="20">
        <f t="shared" si="28"/>
        <v>-1307.38639338843</v>
      </c>
      <c r="E73" s="20">
        <f t="shared" si="28"/>
        <v>-1111.0019134153561</v>
      </c>
      <c r="F73" s="20">
        <f t="shared" si="28"/>
        <v>-910.75400375362256</v>
      </c>
      <c r="G73" s="20">
        <f t="shared" si="28"/>
        <v>-692.94860249025078</v>
      </c>
      <c r="H73" s="20">
        <f t="shared" si="28"/>
        <v>-501.78651200811112</v>
      </c>
      <c r="I73" s="20">
        <f t="shared" si="28"/>
        <v>-334.46632228018871</v>
      </c>
      <c r="J73" s="20">
        <f t="shared" si="28"/>
        <v>-188.46380558108206</v>
      </c>
      <c r="K73" s="20">
        <f t="shared" si="28"/>
        <v>-61.505320336101846</v>
      </c>
      <c r="L73" s="20">
        <f t="shared" si="28"/>
        <v>38.280459609138674</v>
      </c>
      <c r="M73" s="20">
        <f t="shared" si="28"/>
        <v>113.17812758138489</v>
      </c>
      <c r="N73" s="20">
        <f t="shared" si="28"/>
        <v>177.41325464841552</v>
      </c>
      <c r="O73" s="20">
        <f t="shared" si="28"/>
        <v>232.16333210369351</v>
      </c>
      <c r="P73" s="20">
        <f t="shared" si="28"/>
        <v>278.48667997029582</v>
      </c>
      <c r="Q73" s="20">
        <f t="shared" si="28"/>
        <v>317.33402496430296</v>
      </c>
      <c r="R73" s="20">
        <f t="shared" si="28"/>
        <v>349.55897874441945</v>
      </c>
      <c r="S73" s="20">
        <f t="shared" si="28"/>
        <v>375.9275194680269</v>
      </c>
      <c r="T73" s="20">
        <f t="shared" si="28"/>
        <v>397.12657010964728</v>
      </c>
      <c r="U73" s="20">
        <f t="shared" si="28"/>
        <v>413.77175831607934</v>
      </c>
      <c r="V73" s="20">
        <f t="shared" si="28"/>
        <v>424.87157280556835</v>
      </c>
      <c r="W73" s="20">
        <f t="shared" ref="W73:AF73" si="29">W69/(1+$B$6)^W41</f>
        <v>413.01243218931666</v>
      </c>
      <c r="X73" s="20">
        <f t="shared" si="29"/>
        <v>392.13198266554878</v>
      </c>
      <c r="Y73" s="20">
        <f t="shared" si="29"/>
        <v>372.04595844451546</v>
      </c>
      <c r="Z73" s="20">
        <f t="shared" si="29"/>
        <v>352.75521233530475</v>
      </c>
      <c r="AA73" s="20">
        <f t="shared" si="29"/>
        <v>334.25568400223972</v>
      </c>
      <c r="AB73" s="20">
        <f t="shared" si="29"/>
        <v>0</v>
      </c>
      <c r="AC73" s="20">
        <f t="shared" si="29"/>
        <v>0</v>
      </c>
      <c r="AD73" s="20">
        <f t="shared" si="29"/>
        <v>0</v>
      </c>
      <c r="AE73" s="20">
        <f t="shared" si="29"/>
        <v>0</v>
      </c>
      <c r="AF73" s="20">
        <f t="shared" si="29"/>
        <v>0</v>
      </c>
      <c r="AG73" s="149"/>
    </row>
    <row r="74" spans="1:107" s="151" customFormat="1" hidden="1">
      <c r="A74" s="52" t="str">
        <f>'Calc A'!A74</f>
        <v>Resultado Operacional Descontado y Acumulado después de Impuestos</v>
      </c>
      <c r="B74" s="53">
        <f>B71</f>
        <v>61000</v>
      </c>
      <c r="C74" s="53">
        <f>IF(C41&lt;=$B$9,C73,0)</f>
        <v>-1522.0606060606058</v>
      </c>
      <c r="D74" s="53">
        <f t="shared" ref="D74:V74" si="30">IF(D41&lt;=$B$9,D73+C74,0)</f>
        <v>-2829.4469994490355</v>
      </c>
      <c r="E74" s="53">
        <f t="shared" si="30"/>
        <v>-3940.4489128643918</v>
      </c>
      <c r="F74" s="53">
        <f t="shared" si="30"/>
        <v>-4851.2029166180146</v>
      </c>
      <c r="G74" s="53">
        <f t="shared" si="30"/>
        <v>-5544.1515191082653</v>
      </c>
      <c r="H74" s="53">
        <f t="shared" si="30"/>
        <v>-6045.9380311163768</v>
      </c>
      <c r="I74" s="53">
        <f t="shared" si="30"/>
        <v>-6380.4043533965651</v>
      </c>
      <c r="J74" s="53">
        <f t="shared" si="30"/>
        <v>-6568.868158977647</v>
      </c>
      <c r="K74" s="53">
        <f t="shared" si="30"/>
        <v>-6630.3734793137492</v>
      </c>
      <c r="L74" s="53">
        <f t="shared" si="30"/>
        <v>-6592.0930197046109</v>
      </c>
      <c r="M74" s="53">
        <f t="shared" si="30"/>
        <v>-6478.9148921232263</v>
      </c>
      <c r="N74" s="53">
        <f t="shared" si="30"/>
        <v>-6301.5016374748111</v>
      </c>
      <c r="O74" s="53">
        <f t="shared" si="30"/>
        <v>-6069.3383053711177</v>
      </c>
      <c r="P74" s="53">
        <f t="shared" si="30"/>
        <v>-5790.8516254008218</v>
      </c>
      <c r="Q74" s="53">
        <f t="shared" si="30"/>
        <v>-5473.5176004365185</v>
      </c>
      <c r="R74" s="53">
        <f t="shared" si="30"/>
        <v>-5123.9586216920989</v>
      </c>
      <c r="S74" s="53">
        <f t="shared" si="30"/>
        <v>-4748.0311022240721</v>
      </c>
      <c r="T74" s="53">
        <f t="shared" si="30"/>
        <v>-4350.9045321144249</v>
      </c>
      <c r="U74" s="53">
        <f t="shared" si="30"/>
        <v>-3937.1327737983456</v>
      </c>
      <c r="V74" s="53">
        <f t="shared" si="30"/>
        <v>-3512.261200992777</v>
      </c>
      <c r="W74" s="53">
        <f t="shared" ref="W74:AF74" si="31">IF(W41&lt;=$B$9,W73+V74,0)</f>
        <v>-3099.2487688034603</v>
      </c>
      <c r="X74" s="53">
        <f t="shared" si="31"/>
        <v>-2707.1167861379117</v>
      </c>
      <c r="Y74" s="53">
        <f t="shared" si="31"/>
        <v>-2335.0708276933965</v>
      </c>
      <c r="Z74" s="53">
        <f t="shared" si="31"/>
        <v>-1982.3156153580917</v>
      </c>
      <c r="AA74" s="53">
        <f t="shared" si="31"/>
        <v>-1648.0599313558519</v>
      </c>
      <c r="AB74" s="53">
        <f t="shared" si="31"/>
        <v>0</v>
      </c>
      <c r="AC74" s="53">
        <f t="shared" si="31"/>
        <v>0</v>
      </c>
      <c r="AD74" s="53">
        <f t="shared" si="31"/>
        <v>0</v>
      </c>
      <c r="AE74" s="53">
        <f t="shared" si="31"/>
        <v>0</v>
      </c>
      <c r="AF74" s="53">
        <f t="shared" si="31"/>
        <v>0</v>
      </c>
      <c r="AG74" s="62"/>
      <c r="AH74" s="176"/>
    </row>
    <row r="75" spans="1:107" s="181" customFormat="1" ht="11.25" hidden="1">
      <c r="A75" s="178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80"/>
      <c r="DC75" s="182"/>
    </row>
    <row r="76" spans="1:107" s="151" customFormat="1">
      <c r="A76" s="160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149"/>
    </row>
    <row r="77" spans="1:107" s="135" customFormat="1">
      <c r="A77" s="133" t="str">
        <f>'Calc A'!A77</f>
        <v>Liquidez y DSCR (Índice de Cobertura de Servicio de Deuda)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</row>
    <row r="78" spans="1:107" s="151" customFormat="1" ht="25.5">
      <c r="A78" s="247" t="str">
        <f>'Calc A'!A78</f>
        <v>dividendos a los accionistas en% sobre el capital propio de inversión</v>
      </c>
      <c r="B78" s="243"/>
      <c r="C78" s="734">
        <f>'Calc A'!C78</f>
        <v>0</v>
      </c>
      <c r="D78" s="734">
        <f>'Calc A'!D78</f>
        <v>0</v>
      </c>
      <c r="E78" s="734">
        <f>'Calc A'!E78</f>
        <v>0</v>
      </c>
      <c r="F78" s="734">
        <f>'Calc A'!F78</f>
        <v>0</v>
      </c>
      <c r="G78" s="734">
        <f>'Calc A'!G78</f>
        <v>0</v>
      </c>
      <c r="H78" s="734">
        <f>'Calc A'!H78</f>
        <v>0</v>
      </c>
      <c r="I78" s="734">
        <f>'Calc A'!I78</f>
        <v>0</v>
      </c>
      <c r="J78" s="734">
        <f>'Calc A'!J78</f>
        <v>0</v>
      </c>
      <c r="K78" s="734">
        <f>'Calc A'!K78</f>
        <v>0</v>
      </c>
      <c r="L78" s="734">
        <f>'Calc A'!L78</f>
        <v>0</v>
      </c>
      <c r="M78" s="734">
        <f>'Calc A'!M78</f>
        <v>0</v>
      </c>
      <c r="N78" s="734">
        <f>'Calc A'!N78</f>
        <v>0</v>
      </c>
      <c r="O78" s="734">
        <f>'Calc A'!O78</f>
        <v>0</v>
      </c>
      <c r="P78" s="734">
        <f>'Calc A'!P78</f>
        <v>0</v>
      </c>
      <c r="Q78" s="734">
        <f>'Calc A'!Q78</f>
        <v>0</v>
      </c>
      <c r="R78" s="734">
        <f>'Calc A'!R78</f>
        <v>0</v>
      </c>
      <c r="S78" s="734">
        <f>'Calc A'!S78</f>
        <v>0</v>
      </c>
      <c r="T78" s="734">
        <f>'Calc A'!T78</f>
        <v>0</v>
      </c>
      <c r="U78" s="734">
        <f>'Calc A'!U78</f>
        <v>0</v>
      </c>
      <c r="V78" s="734">
        <f>'Calc A'!V78</f>
        <v>0</v>
      </c>
      <c r="W78" s="734">
        <f>'Calc A'!W78</f>
        <v>0</v>
      </c>
      <c r="X78" s="734">
        <f>'Calc A'!X78</f>
        <v>0</v>
      </c>
      <c r="Y78" s="734">
        <f>'Calc A'!Y78</f>
        <v>0</v>
      </c>
      <c r="Z78" s="734">
        <f>'Calc A'!Z78</f>
        <v>0</v>
      </c>
      <c r="AA78" s="734">
        <f>'Calc A'!AA78</f>
        <v>0</v>
      </c>
      <c r="AB78" s="734">
        <f>'Calc A'!AB78</f>
        <v>0</v>
      </c>
      <c r="AC78" s="734">
        <f>'Calc A'!AC78</f>
        <v>0</v>
      </c>
      <c r="AD78" s="734">
        <f>'Calc A'!AD78</f>
        <v>0</v>
      </c>
      <c r="AE78" s="734">
        <f>'Calc A'!AE78</f>
        <v>0</v>
      </c>
      <c r="AF78" s="734">
        <f>'Calc A'!AF78</f>
        <v>0</v>
      </c>
      <c r="AG78" s="149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</row>
    <row r="79" spans="1:107" s="151" customFormat="1">
      <c r="A79" s="161" t="str">
        <f>'Calc A'!A79</f>
        <v>Dividendo a Accionistas en % sobre Capital Propio</v>
      </c>
      <c r="B79" s="53"/>
      <c r="C79" s="53">
        <f t="shared" ref="C79:V79" si="32">$B30*C78</f>
        <v>0</v>
      </c>
      <c r="D79" s="53">
        <f t="shared" si="32"/>
        <v>0</v>
      </c>
      <c r="E79" s="53">
        <f t="shared" si="32"/>
        <v>0</v>
      </c>
      <c r="F79" s="53">
        <f t="shared" si="32"/>
        <v>0</v>
      </c>
      <c r="G79" s="53">
        <f t="shared" si="32"/>
        <v>0</v>
      </c>
      <c r="H79" s="53">
        <f t="shared" si="32"/>
        <v>0</v>
      </c>
      <c r="I79" s="53">
        <f t="shared" si="32"/>
        <v>0</v>
      </c>
      <c r="J79" s="53">
        <f t="shared" si="32"/>
        <v>0</v>
      </c>
      <c r="K79" s="53">
        <f t="shared" si="32"/>
        <v>0</v>
      </c>
      <c r="L79" s="53">
        <f t="shared" si="32"/>
        <v>0</v>
      </c>
      <c r="M79" s="53">
        <f t="shared" si="32"/>
        <v>0</v>
      </c>
      <c r="N79" s="53">
        <f t="shared" si="32"/>
        <v>0</v>
      </c>
      <c r="O79" s="53">
        <f t="shared" si="32"/>
        <v>0</v>
      </c>
      <c r="P79" s="53">
        <f t="shared" si="32"/>
        <v>0</v>
      </c>
      <c r="Q79" s="53">
        <f t="shared" si="32"/>
        <v>0</v>
      </c>
      <c r="R79" s="53">
        <f t="shared" si="32"/>
        <v>0</v>
      </c>
      <c r="S79" s="53">
        <f t="shared" si="32"/>
        <v>0</v>
      </c>
      <c r="T79" s="53">
        <f t="shared" si="32"/>
        <v>0</v>
      </c>
      <c r="U79" s="53">
        <f t="shared" si="32"/>
        <v>0</v>
      </c>
      <c r="V79" s="53">
        <f t="shared" si="32"/>
        <v>0</v>
      </c>
      <c r="W79" s="53">
        <f t="shared" ref="W79:AF79" si="33">$B30*W78</f>
        <v>0</v>
      </c>
      <c r="X79" s="53">
        <f t="shared" si="33"/>
        <v>0</v>
      </c>
      <c r="Y79" s="53">
        <f t="shared" si="33"/>
        <v>0</v>
      </c>
      <c r="Z79" s="53">
        <f t="shared" si="33"/>
        <v>0</v>
      </c>
      <c r="AA79" s="53">
        <f t="shared" si="33"/>
        <v>0</v>
      </c>
      <c r="AB79" s="53">
        <f t="shared" si="33"/>
        <v>0</v>
      </c>
      <c r="AC79" s="53">
        <f t="shared" si="33"/>
        <v>0</v>
      </c>
      <c r="AD79" s="53">
        <f t="shared" si="33"/>
        <v>0</v>
      </c>
      <c r="AE79" s="53">
        <f t="shared" si="33"/>
        <v>0</v>
      </c>
      <c r="AF79" s="53">
        <f t="shared" si="33"/>
        <v>0</v>
      </c>
      <c r="AG79" s="149"/>
    </row>
    <row r="80" spans="1:107" s="151" customFormat="1">
      <c r="A80" s="247" t="str">
        <f>'Calc A'!A80</f>
        <v>Liquidez al inicio</v>
      </c>
      <c r="B80" s="243">
        <f>-B19+B39</f>
        <v>-3903.9999999999982</v>
      </c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149"/>
    </row>
    <row r="81" spans="1:38" s="151" customFormat="1">
      <c r="A81" s="161" t="str">
        <f>'Calc A'!A81</f>
        <v>Resultado Operacional después de Impuestos</v>
      </c>
      <c r="B81" s="53"/>
      <c r="C81" s="53">
        <f>C69</f>
        <v>-1674.2666666666664</v>
      </c>
      <c r="D81" s="53">
        <f t="shared" ref="D81:V81" si="34">D69</f>
        <v>-1581.9375360000004</v>
      </c>
      <c r="E81" s="53">
        <f t="shared" si="34"/>
        <v>-1478.7435467558394</v>
      </c>
      <c r="F81" s="53">
        <f t="shared" si="34"/>
        <v>-1333.4349368956791</v>
      </c>
      <c r="G81" s="53">
        <f t="shared" si="34"/>
        <v>-1116.0006537965742</v>
      </c>
      <c r="H81" s="53">
        <f t="shared" si="34"/>
        <v>-888.94541499960178</v>
      </c>
      <c r="I81" s="53">
        <f t="shared" si="34"/>
        <v>-651.78024160151517</v>
      </c>
      <c r="J81" s="53">
        <f t="shared" si="34"/>
        <v>-403.98890473362326</v>
      </c>
      <c r="K81" s="53">
        <f t="shared" si="34"/>
        <v>-145.02632807072678</v>
      </c>
      <c r="L81" s="53">
        <f t="shared" si="34"/>
        <v>99.289653480366098</v>
      </c>
      <c r="M81" s="53">
        <f t="shared" si="34"/>
        <v>322.91040656869848</v>
      </c>
      <c r="N81" s="53">
        <f t="shared" si="34"/>
        <v>556.79879279501654</v>
      </c>
      <c r="O81" s="53">
        <f t="shared" si="34"/>
        <v>801.49078845916722</v>
      </c>
      <c r="P81" s="53">
        <f t="shared" si="34"/>
        <v>1057.5527037386923</v>
      </c>
      <c r="Q81" s="53">
        <f t="shared" si="34"/>
        <v>1325.5829748754363</v>
      </c>
      <c r="R81" s="53">
        <f t="shared" si="34"/>
        <v>1606.2140644692254</v>
      </c>
      <c r="S81" s="53">
        <f t="shared" si="34"/>
        <v>1900.1144764622481</v>
      </c>
      <c r="T81" s="53">
        <f t="shared" si="34"/>
        <v>2207.990892800417</v>
      </c>
      <c r="U81" s="53">
        <f t="shared" si="34"/>
        <v>2530.5904391852655</v>
      </c>
      <c r="V81" s="53">
        <f t="shared" si="34"/>
        <v>2858.3234845193529</v>
      </c>
      <c r="W81" s="53">
        <f t="shared" ref="W81:AF81" si="35">W69</f>
        <v>3056.3952282869222</v>
      </c>
      <c r="X81" s="53">
        <f t="shared" si="35"/>
        <v>3192.0621511488312</v>
      </c>
      <c r="Y81" s="53">
        <f t="shared" si="35"/>
        <v>3331.4120307210096</v>
      </c>
      <c r="Z81" s="53">
        <f t="shared" si="35"/>
        <v>3474.5445415005088</v>
      </c>
      <c r="AA81" s="53">
        <f t="shared" si="35"/>
        <v>3621.5620460704185</v>
      </c>
      <c r="AB81" s="53">
        <f t="shared" si="35"/>
        <v>0</v>
      </c>
      <c r="AC81" s="53">
        <f t="shared" si="35"/>
        <v>0</v>
      </c>
      <c r="AD81" s="53">
        <f t="shared" si="35"/>
        <v>0</v>
      </c>
      <c r="AE81" s="53">
        <f t="shared" si="35"/>
        <v>0</v>
      </c>
      <c r="AF81" s="53">
        <f t="shared" si="35"/>
        <v>0</v>
      </c>
      <c r="AG81" s="149"/>
    </row>
    <row r="82" spans="1:38" s="151" customFormat="1">
      <c r="A82" s="247" t="str">
        <f>'Calc A'!A82</f>
        <v>Depreciación Equipos/Planta</v>
      </c>
      <c r="B82" s="243"/>
      <c r="C82" s="243">
        <f>C66</f>
        <v>-2440</v>
      </c>
      <c r="D82" s="243">
        <f t="shared" ref="D82:V82" si="36">D66</f>
        <v>-2440</v>
      </c>
      <c r="E82" s="243">
        <f t="shared" si="36"/>
        <v>-2440</v>
      </c>
      <c r="F82" s="243">
        <f t="shared" si="36"/>
        <v>-2440</v>
      </c>
      <c r="G82" s="243">
        <f t="shared" si="36"/>
        <v>-2440</v>
      </c>
      <c r="H82" s="243">
        <f t="shared" si="36"/>
        <v>-2440</v>
      </c>
      <c r="I82" s="243">
        <f t="shared" si="36"/>
        <v>-2440</v>
      </c>
      <c r="J82" s="243">
        <f t="shared" si="36"/>
        <v>-2440</v>
      </c>
      <c r="K82" s="243">
        <f t="shared" si="36"/>
        <v>-2440</v>
      </c>
      <c r="L82" s="243">
        <f t="shared" si="36"/>
        <v>-2440</v>
      </c>
      <c r="M82" s="243">
        <f t="shared" si="36"/>
        <v>-2440</v>
      </c>
      <c r="N82" s="243">
        <f t="shared" si="36"/>
        <v>-2440</v>
      </c>
      <c r="O82" s="243">
        <f t="shared" si="36"/>
        <v>-2440</v>
      </c>
      <c r="P82" s="243">
        <f t="shared" si="36"/>
        <v>-2440</v>
      </c>
      <c r="Q82" s="243">
        <f t="shared" si="36"/>
        <v>-2440</v>
      </c>
      <c r="R82" s="243">
        <f t="shared" si="36"/>
        <v>-2440</v>
      </c>
      <c r="S82" s="243">
        <f t="shared" si="36"/>
        <v>-2440</v>
      </c>
      <c r="T82" s="243">
        <f t="shared" si="36"/>
        <v>-2440</v>
      </c>
      <c r="U82" s="243">
        <f t="shared" si="36"/>
        <v>-2440</v>
      </c>
      <c r="V82" s="243">
        <f t="shared" si="36"/>
        <v>-2440</v>
      </c>
      <c r="W82" s="243">
        <f t="shared" ref="W82:AF82" si="37">W66</f>
        <v>-2440</v>
      </c>
      <c r="X82" s="243">
        <f t="shared" si="37"/>
        <v>-2440</v>
      </c>
      <c r="Y82" s="243">
        <f t="shared" si="37"/>
        <v>-2440</v>
      </c>
      <c r="Z82" s="243">
        <f t="shared" si="37"/>
        <v>-2440</v>
      </c>
      <c r="AA82" s="243">
        <f t="shared" si="37"/>
        <v>-2440</v>
      </c>
      <c r="AB82" s="243">
        <f t="shared" si="37"/>
        <v>0</v>
      </c>
      <c r="AC82" s="243">
        <f t="shared" si="37"/>
        <v>0</v>
      </c>
      <c r="AD82" s="243">
        <f t="shared" si="37"/>
        <v>0</v>
      </c>
      <c r="AE82" s="243">
        <f t="shared" si="37"/>
        <v>0</v>
      </c>
      <c r="AF82" s="243">
        <f t="shared" si="37"/>
        <v>0</v>
      </c>
      <c r="AG82" s="149"/>
    </row>
    <row r="83" spans="1:38" s="151" customFormat="1">
      <c r="A83" s="161" t="str">
        <f>'Calc A'!A83</f>
        <v>Flujo de Caja (antes de reembolso)</v>
      </c>
      <c r="B83" s="53"/>
      <c r="C83" s="53">
        <f>C81-C82-C52</f>
        <v>765.73333333333358</v>
      </c>
      <c r="D83" s="53">
        <f>D81-D82-D52</f>
        <v>858.06246399999964</v>
      </c>
      <c r="E83" s="53">
        <f t="shared" ref="E83:AF83" si="38">E81-E82-E52</f>
        <v>961.25645324416064</v>
      </c>
      <c r="F83" s="53">
        <f t="shared" si="38"/>
        <v>1106.5650631043209</v>
      </c>
      <c r="G83" s="53">
        <f t="shared" si="38"/>
        <v>1323.9993462034258</v>
      </c>
      <c r="H83" s="53">
        <f t="shared" si="38"/>
        <v>1551.0545850003982</v>
      </c>
      <c r="I83" s="53">
        <f t="shared" si="38"/>
        <v>1788.2197583984848</v>
      </c>
      <c r="J83" s="53">
        <f t="shared" si="38"/>
        <v>2036.0110952663767</v>
      </c>
      <c r="K83" s="53">
        <f t="shared" si="38"/>
        <v>2294.9736719292732</v>
      </c>
      <c r="L83" s="53">
        <f t="shared" si="38"/>
        <v>2539.2896534803663</v>
      </c>
      <c r="M83" s="53">
        <f t="shared" si="38"/>
        <v>2762.9104065686984</v>
      </c>
      <c r="N83" s="53">
        <f t="shared" si="38"/>
        <v>2996.7987927950167</v>
      </c>
      <c r="O83" s="53">
        <f t="shared" si="38"/>
        <v>3241.4907884591671</v>
      </c>
      <c r="P83" s="53">
        <f t="shared" si="38"/>
        <v>3497.5527037386923</v>
      </c>
      <c r="Q83" s="53">
        <f t="shared" si="38"/>
        <v>3765.5829748754363</v>
      </c>
      <c r="R83" s="53">
        <f t="shared" si="38"/>
        <v>4046.2140644692254</v>
      </c>
      <c r="S83" s="53">
        <f t="shared" si="38"/>
        <v>4340.1144764622477</v>
      </c>
      <c r="T83" s="53">
        <f t="shared" si="38"/>
        <v>4647.990892800417</v>
      </c>
      <c r="U83" s="53">
        <f t="shared" si="38"/>
        <v>4970.5904391852655</v>
      </c>
      <c r="V83" s="53">
        <f t="shared" si="38"/>
        <v>5298.3234845193529</v>
      </c>
      <c r="W83" s="53">
        <f t="shared" si="38"/>
        <v>5496.3952282869222</v>
      </c>
      <c r="X83" s="53">
        <f t="shared" si="38"/>
        <v>5632.0621511488316</v>
      </c>
      <c r="Y83" s="53">
        <f t="shared" si="38"/>
        <v>5771.4120307210096</v>
      </c>
      <c r="Z83" s="53">
        <f t="shared" si="38"/>
        <v>5914.5445415005088</v>
      </c>
      <c r="AA83" s="53">
        <f t="shared" si="38"/>
        <v>6061.5620460704185</v>
      </c>
      <c r="AB83" s="53">
        <f t="shared" si="38"/>
        <v>0</v>
      </c>
      <c r="AC83" s="53">
        <f t="shared" si="38"/>
        <v>0</v>
      </c>
      <c r="AD83" s="53">
        <f t="shared" si="38"/>
        <v>0</v>
      </c>
      <c r="AE83" s="53">
        <f t="shared" si="38"/>
        <v>0</v>
      </c>
      <c r="AF83" s="53">
        <f t="shared" si="38"/>
        <v>0</v>
      </c>
      <c r="AG83" s="149"/>
    </row>
    <row r="84" spans="1:38" s="151" customFormat="1">
      <c r="A84" s="247" t="str">
        <f>'Calc A'!A84</f>
        <v>Flujo de Caja (después de reembolso)</v>
      </c>
      <c r="B84" s="718">
        <f>B69</f>
        <v>-12200</v>
      </c>
      <c r="C84" s="243">
        <f>C83+C56</f>
        <v>765.73333333333358</v>
      </c>
      <c r="D84" s="243">
        <f t="shared" ref="D84:AF84" si="39">D83+D56</f>
        <v>858.06246399999964</v>
      </c>
      <c r="E84" s="243">
        <f t="shared" si="39"/>
        <v>961.25645324416064</v>
      </c>
      <c r="F84" s="243">
        <f t="shared" si="39"/>
        <v>-662.45042183183227</v>
      </c>
      <c r="G84" s="243">
        <f t="shared" si="39"/>
        <v>-553.56920999901558</v>
      </c>
      <c r="H84" s="243">
        <f t="shared" si="39"/>
        <v>-441.72824435247981</v>
      </c>
      <c r="I84" s="243">
        <f t="shared" si="39"/>
        <v>-326.84730098801901</v>
      </c>
      <c r="J84" s="243">
        <f t="shared" si="39"/>
        <v>-208.8439886940605</v>
      </c>
      <c r="K84" s="243">
        <f t="shared" si="39"/>
        <v>-87.633690621559253</v>
      </c>
      <c r="L84" s="243">
        <f t="shared" si="39"/>
        <v>10.477043418147332</v>
      </c>
      <c r="M84" s="243">
        <f t="shared" si="39"/>
        <v>78.920875887788043</v>
      </c>
      <c r="N84" s="243">
        <f t="shared" si="39"/>
        <v>148.11013467119847</v>
      </c>
      <c r="O84" s="243">
        <f t="shared" si="39"/>
        <v>217.99647964770475</v>
      </c>
      <c r="P84" s="243">
        <f t="shared" si="39"/>
        <v>288.52604884407901</v>
      </c>
      <c r="Q84" s="243">
        <f t="shared" si="39"/>
        <v>359.63905038622261</v>
      </c>
      <c r="R84" s="243">
        <f t="shared" si="39"/>
        <v>431.26932754370637</v>
      </c>
      <c r="S84" s="243">
        <f t="shared" si="39"/>
        <v>503.34389516582223</v>
      </c>
      <c r="T84" s="243">
        <f t="shared" si="39"/>
        <v>575.7824457020979</v>
      </c>
      <c r="U84" s="243">
        <f t="shared" si="39"/>
        <v>648.49682288787608</v>
      </c>
      <c r="V84" s="243">
        <f t="shared" si="39"/>
        <v>2426.1929295884884</v>
      </c>
      <c r="W84" s="243">
        <f t="shared" si="39"/>
        <v>5496.3952282869222</v>
      </c>
      <c r="X84" s="243">
        <f t="shared" si="39"/>
        <v>5632.0621511488316</v>
      </c>
      <c r="Y84" s="243">
        <f t="shared" si="39"/>
        <v>5771.4120307210096</v>
      </c>
      <c r="Z84" s="243">
        <f t="shared" si="39"/>
        <v>5914.5445415005088</v>
      </c>
      <c r="AA84" s="243">
        <f t="shared" si="39"/>
        <v>6061.5620460704185</v>
      </c>
      <c r="AB84" s="243">
        <f t="shared" si="39"/>
        <v>0</v>
      </c>
      <c r="AC84" s="243">
        <f t="shared" si="39"/>
        <v>0</v>
      </c>
      <c r="AD84" s="243">
        <f t="shared" si="39"/>
        <v>0</v>
      </c>
      <c r="AE84" s="243">
        <f t="shared" si="39"/>
        <v>0</v>
      </c>
      <c r="AF84" s="243">
        <f t="shared" si="39"/>
        <v>0</v>
      </c>
      <c r="AG84" s="149"/>
    </row>
    <row r="85" spans="1:38" s="151" customFormat="1">
      <c r="A85" s="161" t="str">
        <f>'Calc A'!A85</f>
        <v>Pago Deuda Bancaria (Reembolso + Intereses)</v>
      </c>
      <c r="B85" s="53"/>
      <c r="C85" s="53">
        <f>C57</f>
        <v>-2919.8666666666668</v>
      </c>
      <c r="D85" s="53">
        <f t="shared" ref="D85:V85" si="40">D57</f>
        <v>-2928</v>
      </c>
      <c r="E85" s="53">
        <f t="shared" si="40"/>
        <v>-2928</v>
      </c>
      <c r="F85" s="53">
        <f t="shared" si="40"/>
        <v>-4657.7064464996347</v>
      </c>
      <c r="G85" s="53">
        <f t="shared" si="40"/>
        <v>-4657.7064464996347</v>
      </c>
      <c r="H85" s="53">
        <f t="shared" si="40"/>
        <v>-4657.7064464996347</v>
      </c>
      <c r="I85" s="53">
        <f t="shared" si="40"/>
        <v>-4657.7064464996347</v>
      </c>
      <c r="J85" s="53">
        <f t="shared" si="40"/>
        <v>-4657.7064464996347</v>
      </c>
      <c r="K85" s="53">
        <f t="shared" si="40"/>
        <v>-4657.7064464996347</v>
      </c>
      <c r="L85" s="53">
        <f t="shared" si="40"/>
        <v>-4657.7064464996347</v>
      </c>
      <c r="M85" s="53">
        <f t="shared" si="40"/>
        <v>-4657.7064464996347</v>
      </c>
      <c r="N85" s="53">
        <f t="shared" si="40"/>
        <v>-4657.7064464996347</v>
      </c>
      <c r="O85" s="53">
        <f t="shared" si="40"/>
        <v>-4657.7064464996347</v>
      </c>
      <c r="P85" s="53">
        <f t="shared" si="40"/>
        <v>-4657.7064464996347</v>
      </c>
      <c r="Q85" s="53">
        <f t="shared" si="40"/>
        <v>-4657.7064464996347</v>
      </c>
      <c r="R85" s="53">
        <f t="shared" si="40"/>
        <v>-4657.7064464996347</v>
      </c>
      <c r="S85" s="53">
        <f t="shared" si="40"/>
        <v>-4657.7064464996347</v>
      </c>
      <c r="T85" s="53">
        <f t="shared" si="40"/>
        <v>-4657.7064464996347</v>
      </c>
      <c r="U85" s="53">
        <f t="shared" si="40"/>
        <v>-4657.7064464996347</v>
      </c>
      <c r="V85" s="53">
        <f t="shared" si="40"/>
        <v>-2955.663113012552</v>
      </c>
      <c r="W85" s="53">
        <f t="shared" ref="W85:AF85" si="41">W57</f>
        <v>0</v>
      </c>
      <c r="X85" s="53">
        <f t="shared" si="41"/>
        <v>0</v>
      </c>
      <c r="Y85" s="53">
        <f t="shared" si="41"/>
        <v>0</v>
      </c>
      <c r="Z85" s="53">
        <f t="shared" si="41"/>
        <v>0</v>
      </c>
      <c r="AA85" s="53">
        <f t="shared" si="41"/>
        <v>0</v>
      </c>
      <c r="AB85" s="53">
        <f t="shared" si="41"/>
        <v>0</v>
      </c>
      <c r="AC85" s="53">
        <f t="shared" si="41"/>
        <v>0</v>
      </c>
      <c r="AD85" s="53">
        <f t="shared" si="41"/>
        <v>0</v>
      </c>
      <c r="AE85" s="53">
        <f t="shared" si="41"/>
        <v>0</v>
      </c>
      <c r="AF85" s="53">
        <f t="shared" si="41"/>
        <v>0</v>
      </c>
      <c r="AG85" s="149"/>
    </row>
    <row r="86" spans="1:38" s="154" customFormat="1">
      <c r="A86" s="59" t="str">
        <f>'Calc A'!A86</f>
        <v>Liquidez (Final de Año)</v>
      </c>
      <c r="B86" s="59">
        <f>B80</f>
        <v>-3903.9999999999982</v>
      </c>
      <c r="C86" s="59">
        <f>IF(C41=$B$9,B86+C84+C79+SUM($C52:C52),B86+C84+C79)</f>
        <v>-3138.2666666666646</v>
      </c>
      <c r="D86" s="59">
        <f>IF(D41=$B$9,C86+D84+D79+SUM($C52:D52),C86+D84+D79)</f>
        <v>-2280.204202666665</v>
      </c>
      <c r="E86" s="59">
        <f>IF(E41=$B$9,D86+E84+E79+SUM($C52:E52),D86+E84+E79)</f>
        <v>-1318.9477494225043</v>
      </c>
      <c r="F86" s="59">
        <f>IF(F41=$B$9,E86+F84+F79+SUM($C52:F52),E86+F84+F79)</f>
        <v>-1981.3981712543366</v>
      </c>
      <c r="G86" s="59">
        <f>IF(G41=$B$9,F86+G84+G79+SUM($C52:G52),F86+G84+G79)</f>
        <v>-2534.967381253352</v>
      </c>
      <c r="H86" s="59">
        <f>IF(H41=$B$9,G86+H84+H79+SUM($C52:H52),G86+H84+H79)</f>
        <v>-2976.695625605832</v>
      </c>
      <c r="I86" s="59">
        <f>IF(I41=$B$9,H86+I84+I79+SUM($C52:I52),H86+I84+I79)</f>
        <v>-3303.542926593851</v>
      </c>
      <c r="J86" s="59">
        <f>IF(J41=$B$9,I86+J84+J79+SUM($C52:J52),I86+J84+J79)</f>
        <v>-3512.3869152879115</v>
      </c>
      <c r="K86" s="59">
        <f>IF(K41=$B$9,J86+K84+K79+SUM($C52:K52),J86+K84+K79)</f>
        <v>-3600.0206059094708</v>
      </c>
      <c r="L86" s="59">
        <f>IF(L41=$B$9,K86+L84+L79+SUM($C52:L52),K86+L84+L79)</f>
        <v>-3589.5435624913234</v>
      </c>
      <c r="M86" s="59">
        <f>IF(M41=$B$9,L86+M84+M79+SUM($C52:M52),L86+M84+M79)</f>
        <v>-3510.6226866035354</v>
      </c>
      <c r="N86" s="59">
        <f>IF(N41=$B$9,M86+N84+N79+SUM($C52:N52),M86+N84+N79)</f>
        <v>-3362.5125519323369</v>
      </c>
      <c r="O86" s="59">
        <f>IF(O41=$B$9,N86+O84+O79+SUM($C52:O52),N86+O84+O79)</f>
        <v>-3144.5160722846322</v>
      </c>
      <c r="P86" s="59">
        <f>IF(P41=$B$9,O86+P84+P79+SUM($C52:P52),O86+P84+P79)</f>
        <v>-2855.9900234405532</v>
      </c>
      <c r="Q86" s="59">
        <f>IF(Q41=$B$9,P86+Q84+Q79+SUM($C52:Q52),P86+Q84+Q79)</f>
        <v>-2496.3509730543306</v>
      </c>
      <c r="R86" s="59">
        <f>IF(R41=$B$9,Q86+R84+R79+SUM($C52:R52),Q86+R84+R79)</f>
        <v>-2065.0816455106242</v>
      </c>
      <c r="S86" s="59">
        <f>IF(S41=$B$9,R86+S84+S79+SUM($C52:S52),R86+S84+S79)</f>
        <v>-1561.737750344802</v>
      </c>
      <c r="T86" s="59">
        <f>IF(T41=$B$9,S86+T84+T79+SUM($C52:T52),S86+T84+T79)</f>
        <v>-985.95530464270405</v>
      </c>
      <c r="U86" s="59">
        <f>IF(U41=$B$9,T86+U84+U79+SUM($C52:U52),T86+U84+U79)</f>
        <v>-337.45848175482797</v>
      </c>
      <c r="V86" s="59">
        <f>IF(V41=$B$9,U86+V84+V79+SUM($C52:V52),U86+V84+V79)</f>
        <v>2088.7344478336604</v>
      </c>
      <c r="W86" s="59">
        <f>IF(W41=$B$9,V86+W84+W79+SUM($C52:W52),V86+W84+W79)</f>
        <v>7585.1296761205831</v>
      </c>
      <c r="X86" s="59">
        <f>IF(X41=$B$9,W86+X84+X79+SUM($C52:X52),W86+X84+X79)</f>
        <v>13217.191827269415</v>
      </c>
      <c r="Y86" s="59">
        <f>IF(Y41=$B$9,X86+Y84+Y79+SUM($C52:Y52),X86+Y84+Y79)</f>
        <v>18988.603857990423</v>
      </c>
      <c r="Z86" s="59">
        <f>IF(Z41=$B$9,Y86+Z84+Z79+SUM($C52:Z52),Y86+Z84+Z79)</f>
        <v>24903.148399490932</v>
      </c>
      <c r="AA86" s="59">
        <f>IF(AA41=$B$9,Z86+AA84+AA79+SUM($C52:AA52),Z86+AA84+AA79)</f>
        <v>30964.710445561352</v>
      </c>
      <c r="AB86" s="59">
        <f>IF(AB41=$B$9,AA86+AB84+AB79+SUM($C52:AB52),AA86+AB84+AB79)</f>
        <v>30964.710445561352</v>
      </c>
      <c r="AC86" s="59">
        <f>IF(AC41=$B$9,AB86+AC84+AC79+SUM($C52:AC52),AB86+AC84+AC79)</f>
        <v>30964.710445561352</v>
      </c>
      <c r="AD86" s="59">
        <f>IF(AD41=$B$9,AC86+AD84+AD79+SUM($C52:AD52),AC86+AD84+AD79)</f>
        <v>30964.710445561352</v>
      </c>
      <c r="AE86" s="59">
        <f>IF(AE41=$B$9,AD86+AE84+AE79+SUM($C52:AE52),AD86+AE84+AE79)</f>
        <v>30964.710445561352</v>
      </c>
      <c r="AF86" s="59">
        <f>IF(AF41=$B$9,AE86+AF84+AF79+SUM($C52:AF52),AE86+AF84+AF79)</f>
        <v>30964.710445561352</v>
      </c>
      <c r="AG86" s="152"/>
      <c r="AH86" s="152"/>
      <c r="AI86" s="152"/>
      <c r="AJ86" s="153"/>
      <c r="AK86" s="153"/>
      <c r="AL86" s="153"/>
    </row>
    <row r="87" spans="1:38" s="151" customFormat="1">
      <c r="A87" s="735" t="str">
        <f>'Calc A'!A87</f>
        <v>(Índice de Cobertura de Servicio de Deuda)</v>
      </c>
      <c r="B87" s="736"/>
      <c r="C87" s="737">
        <f>IF(C85=0,0,C83/-C85)</f>
        <v>0.26224941778163396</v>
      </c>
      <c r="D87" s="737">
        <f t="shared" ref="D87:V87" si="42">IF(D85=0,0,D83/-D85)</f>
        <v>0.29305412021857913</v>
      </c>
      <c r="E87" s="738">
        <f t="shared" si="42"/>
        <v>0.3282979690041532</v>
      </c>
      <c r="F87" s="737">
        <f t="shared" si="42"/>
        <v>0.23757724446887973</v>
      </c>
      <c r="G87" s="737">
        <f t="shared" si="42"/>
        <v>0.28425993810718564</v>
      </c>
      <c r="H87" s="737">
        <f t="shared" si="42"/>
        <v>0.33300823115764383</v>
      </c>
      <c r="I87" s="737">
        <f t="shared" si="42"/>
        <v>0.38392710638566968</v>
      </c>
      <c r="J87" s="737">
        <f t="shared" si="42"/>
        <v>0.43712739706824638</v>
      </c>
      <c r="K87" s="737">
        <f t="shared" si="42"/>
        <v>0.49272612997197252</v>
      </c>
      <c r="L87" s="737">
        <f t="shared" si="42"/>
        <v>0.54518026901173566</v>
      </c>
      <c r="M87" s="737">
        <f t="shared" si="42"/>
        <v>0.59319118504024315</v>
      </c>
      <c r="N87" s="737">
        <f t="shared" si="42"/>
        <v>0.6434065407980305</v>
      </c>
      <c r="O87" s="737">
        <f t="shared" si="42"/>
        <v>0.69594140929495807</v>
      </c>
      <c r="P87" s="737">
        <f t="shared" si="42"/>
        <v>0.75091737616207599</v>
      </c>
      <c r="Q87" s="737">
        <f t="shared" si="42"/>
        <v>0.80846292443040324</v>
      </c>
      <c r="R87" s="737">
        <f t="shared" si="42"/>
        <v>0.86871384252007577</v>
      </c>
      <c r="S87" s="737">
        <f t="shared" si="42"/>
        <v>0.93181365685335016</v>
      </c>
      <c r="T87" s="737">
        <f t="shared" si="42"/>
        <v>0.99791409059140701</v>
      </c>
      <c r="U87" s="737">
        <f t="shared" si="42"/>
        <v>1.0671755500866247</v>
      </c>
      <c r="V87" s="737">
        <f t="shared" si="42"/>
        <v>1.7926006049854073</v>
      </c>
      <c r="W87" s="737">
        <f t="shared" ref="W87:AF87" si="43">IF(W85=0,0,W83/-W85)</f>
        <v>0</v>
      </c>
      <c r="X87" s="737">
        <f t="shared" si="43"/>
        <v>0</v>
      </c>
      <c r="Y87" s="737">
        <f t="shared" si="43"/>
        <v>0</v>
      </c>
      <c r="Z87" s="737">
        <f t="shared" si="43"/>
        <v>0</v>
      </c>
      <c r="AA87" s="737">
        <f t="shared" si="43"/>
        <v>0</v>
      </c>
      <c r="AB87" s="737">
        <f t="shared" si="43"/>
        <v>0</v>
      </c>
      <c r="AC87" s="737">
        <f t="shared" si="43"/>
        <v>0</v>
      </c>
      <c r="AD87" s="737">
        <f t="shared" si="43"/>
        <v>0</v>
      </c>
      <c r="AE87" s="737">
        <f t="shared" si="43"/>
        <v>0</v>
      </c>
      <c r="AF87" s="737">
        <f t="shared" si="43"/>
        <v>0</v>
      </c>
      <c r="AG87" s="149"/>
    </row>
    <row r="88" spans="1:38" s="165" customFormat="1" ht="25.5">
      <c r="A88" s="732" t="str">
        <f>'Calc A'!A88</f>
        <v>Criterio DSCR (Índice de Cobertura de Servicio de Deuda)&gt; 1,x cumple?</v>
      </c>
      <c r="B88" s="713"/>
      <c r="C88" s="739" t="str">
        <f>IF(C85=0,0,IF(C87&gt;$B$14,languages!$A251,languages!$A250))</f>
        <v>No</v>
      </c>
      <c r="D88" s="739" t="str">
        <f>IF(D85=0,0,IF(D87&gt;$B$14,languages!$A251,languages!$A250))</f>
        <v>No</v>
      </c>
      <c r="E88" s="739" t="str">
        <f>IF(E85=0,0,IF(E87&gt;$B$14,languages!$A251,languages!$A250))</f>
        <v>No</v>
      </c>
      <c r="F88" s="739" t="str">
        <f>IF(F85=0,0,IF(F87&gt;$B$14,languages!$A251,languages!$A250))</f>
        <v>No</v>
      </c>
      <c r="G88" s="739" t="str">
        <f>IF(G85=0,0,IF(G87&gt;$B$14,languages!$A251,languages!$A250))</f>
        <v>No</v>
      </c>
      <c r="H88" s="739" t="str">
        <f>IF(H85=0,0,IF(H87&gt;$B$14,languages!$A251,languages!$A250))</f>
        <v>No</v>
      </c>
      <c r="I88" s="739" t="str">
        <f>IF(I85=0,0,IF(I87&gt;$B$14,languages!$A251,languages!$A250))</f>
        <v>No</v>
      </c>
      <c r="J88" s="739" t="str">
        <f>IF(J85=0,0,IF(J87&gt;$B$14,languages!$A251,languages!$A250))</f>
        <v>No</v>
      </c>
      <c r="K88" s="739" t="str">
        <f>IF(K85=0,0,IF(K87&gt;$B$14,languages!$A251,languages!$A250))</f>
        <v>No</v>
      </c>
      <c r="L88" s="739" t="str">
        <f>IF(L85=0,0,IF(L87&gt;$B$14,languages!$A251,languages!$A250))</f>
        <v>No</v>
      </c>
      <c r="M88" s="739" t="str">
        <f>IF(M85=0,0,IF(M87&gt;$B$14,languages!$A251,languages!$A250))</f>
        <v>No</v>
      </c>
      <c r="N88" s="739" t="str">
        <f>IF(N85=0,0,IF(N87&gt;$B$14,languages!$A251,languages!$A250))</f>
        <v>No</v>
      </c>
      <c r="O88" s="739" t="str">
        <f>IF(O85=0,0,IF(O87&gt;$B$14,languages!$A251,languages!$A250))</f>
        <v>No</v>
      </c>
      <c r="P88" s="739" t="str">
        <f>IF(P85=0,0,IF(P87&gt;$B$14,languages!$A251,languages!$A250))</f>
        <v>No</v>
      </c>
      <c r="Q88" s="739" t="str">
        <f>IF(Q85=0,0,IF(Q87&gt;$B$14,languages!$A251,languages!$A250))</f>
        <v>No</v>
      </c>
      <c r="R88" s="739" t="str">
        <f>IF(R85=0,0,IF(R87&gt;$B$14,languages!$A251,languages!$A250))</f>
        <v>No</v>
      </c>
      <c r="S88" s="739" t="str">
        <f>IF(S85=0,0,IF(S87&gt;$B$14,languages!$A251,languages!$A250))</f>
        <v>No</v>
      </c>
      <c r="T88" s="739" t="str">
        <f>IF(T85=0,0,IF(T87&gt;$B$14,languages!$A251,languages!$A250))</f>
        <v>No</v>
      </c>
      <c r="U88" s="739" t="str">
        <f>IF(U85=0,0,IF(U87&gt;$B$14,languages!$A251,languages!$A250))</f>
        <v>No</v>
      </c>
      <c r="V88" s="739" t="str">
        <f>IF(V85=0,0,IF(V87&gt;$B$14,languages!$A251,languages!$A250))</f>
        <v xml:space="preserve">Si </v>
      </c>
      <c r="W88" s="739">
        <f>IF(W85=0,0,IF(W87&gt;$B$14,languages!$A251,languages!$A250))</f>
        <v>0</v>
      </c>
      <c r="X88" s="739">
        <f>IF(X85=0,0,IF(X87&gt;$B$14,languages!$A251,languages!$A250))</f>
        <v>0</v>
      </c>
      <c r="Y88" s="739">
        <f>IF(Y85=0,0,IF(Y87&gt;$B$14,languages!$A251,languages!$A250))</f>
        <v>0</v>
      </c>
      <c r="Z88" s="739">
        <f>IF(Z85=0,0,IF(Z87&gt;$B$14,languages!$A251,languages!$A250))</f>
        <v>0</v>
      </c>
      <c r="AA88" s="739">
        <f>IF(AA85=0,0,IF(AA87&gt;$B$14,languages!$A251,languages!$A250))</f>
        <v>0</v>
      </c>
      <c r="AB88" s="739">
        <f>IF(AB85=0,0,IF(AB87&gt;$B$14,languages!$A251,languages!$A250))</f>
        <v>0</v>
      </c>
      <c r="AC88" s="739">
        <f>IF(AC85=0,0,IF(AC87&gt;$B$14,languages!$A251,languages!$A250))</f>
        <v>0</v>
      </c>
      <c r="AD88" s="739">
        <f>IF(AD85=0,0,IF(AD87&gt;$B$14,languages!$A251,languages!$A250))</f>
        <v>0</v>
      </c>
      <c r="AE88" s="739">
        <f>IF(AE85=0,0,IF(AE87&gt;$B$14,languages!$A251,languages!$A250))</f>
        <v>0</v>
      </c>
      <c r="AF88" s="739">
        <f>IF(AF85=0,0,IF(AF87&gt;$B$14,languages!$A251,languages!$A250))</f>
        <v>0</v>
      </c>
    </row>
    <row r="89" spans="1:38" s="192" customFormat="1">
      <c r="A89" s="190" t="str">
        <f>'Calc A'!A89</f>
        <v>Tasa Interna de Retorno</v>
      </c>
      <c r="B89" s="191"/>
      <c r="C89" s="191">
        <f>IF(ISERROR(IRR($B$84:C84,0%)),"-",IRR($B$84:C84,0%))</f>
        <v>-0.93723497267759559</v>
      </c>
      <c r="D89" s="191">
        <f>IF(ISERROR(IRR($B$84:D84,0%)),"-",IRR($B$84:D84,0%))</f>
        <v>-0.7015634636839152</v>
      </c>
      <c r="E89" s="191">
        <f>IF(ISERROR(IRR($B$84:E84,0%)),"-",IRR($B$84:E84,0%))</f>
        <v>-0.49259204051897343</v>
      </c>
      <c r="F89" s="191" t="str">
        <f>IF(ISERROR(IRR($B$84:F84,0%)),"-",IRR($B$84:F84,0%))</f>
        <v>-</v>
      </c>
      <c r="G89" s="191" t="str">
        <f>IF(ISERROR(IRR($B$84:G84,0%)),"-",IRR($B$84:G84,0%))</f>
        <v>-</v>
      </c>
      <c r="H89" s="191" t="str">
        <f>IF(ISERROR(IRR($B$84:H84,0%)),"-",IRR($B$84:H84,0%))</f>
        <v>-</v>
      </c>
      <c r="I89" s="191" t="str">
        <f>IF(ISERROR(IRR($B$84:I84,0%)),"-",IRR($B$84:I84,0%))</f>
        <v>-</v>
      </c>
      <c r="J89" s="191" t="str">
        <f>IF(ISERROR(IRR($B$84:J84,0%)),"-",IRR($B$84:J84,0%))</f>
        <v>-</v>
      </c>
      <c r="K89" s="191" t="str">
        <f>IF(ISERROR(IRR($B$84:K84,0%)),"-",IRR($B$84:K84,0%))</f>
        <v>-</v>
      </c>
      <c r="L89" s="191" t="str">
        <f>IF(ISERROR(IRR($B$84:L84,0%)),"-",IRR($B$84:L84,0%))</f>
        <v>-</v>
      </c>
      <c r="M89" s="191" t="str">
        <f>IF(ISERROR(IRR($B$84:M84,0%)),"-",IRR($B$84:M84,0%))</f>
        <v>-</v>
      </c>
      <c r="N89" s="191" t="str">
        <f>IF(ISERROR(IRR($B$84:N84,0%)),"-",IRR($B$84:N84,0%))</f>
        <v>-</v>
      </c>
      <c r="O89" s="191" t="str">
        <f>IF(ISERROR(IRR($B$84:O84,0%)),"-",IRR($B$84:O84,0%))</f>
        <v>-</v>
      </c>
      <c r="P89" s="191">
        <f>IF(ISERROR(IRR($B$84:P84,0%)),"-",IRR($B$84:P84,0%))</f>
        <v>-0.21395616151065144</v>
      </c>
      <c r="Q89" s="191">
        <f>IF(ISERROR(IRR($B$84:Q84,0%)),"-",IRR($B$84:Q84,0%))</f>
        <v>-0.17373109800932351</v>
      </c>
      <c r="R89" s="191">
        <f>IF(ISERROR(IRR($B$84:R84,0%)),"-",IRR($B$84:R84,0%))</f>
        <v>-0.14253867293979083</v>
      </c>
      <c r="S89" s="191">
        <f>IF(ISERROR(IRR($B$84:S84,0%)),"-",IRR($B$84:S84,0%))</f>
        <v>-0.11745096478004891</v>
      </c>
      <c r="T89" s="191">
        <f>IF(ISERROR(IRR($B$84:T84,0%)),"-",IRR($B$84:T84,0%))</f>
        <v>-9.6778428290182461E-2</v>
      </c>
      <c r="U89" s="191">
        <f>IF(ISERROR(IRR($B$84:U84,0%)),"-",IRR($B$84:U84,0%))</f>
        <v>-7.9445529154191452E-2</v>
      </c>
      <c r="V89" s="191">
        <f>IF(ISERROR(IRR($B$84:V84,0%)),"-",IRR($B$84:V84,0%))</f>
        <v>-4.1836033198514144E-2</v>
      </c>
      <c r="W89" s="191">
        <f>IF(ISERROR(IRR($B$84:W84,0%)),"-",IRR($B$84:W84,0%))</f>
        <v>-3.2747058801865236E-3</v>
      </c>
      <c r="X89" s="191">
        <f>IF(ISERROR(IRR($B$84:X84,0%)),"-",IRR($B$84:X84,0%))</f>
        <v>1.7777554366475767E-2</v>
      </c>
      <c r="Y89" s="191">
        <f>IF(ISERROR(IRR($B$84:Y84,0%)),"-",IRR($B$84:Y84,0%))</f>
        <v>3.2039293878578512E-2</v>
      </c>
      <c r="Z89" s="191">
        <f>IF(ISERROR(IRR($B$84:Z84,0%)),"-",IRR($B$84:Z84,0%))</f>
        <v>4.2602855106064652E-2</v>
      </c>
      <c r="AA89" s="191">
        <f>IF(ISERROR(IRR($B$84:AA84,0%)),"-",IRR($B$84:AA84,0%))</f>
        <v>5.0826777789444222E-2</v>
      </c>
      <c r="AB89" s="191">
        <f>IF(ISERROR(IRR($B$84:AB84,0%)),"-",IRR($B$84:AB84,0%))</f>
        <v>5.0826777789444222E-2</v>
      </c>
      <c r="AC89" s="191">
        <f>IF(ISERROR(IRR($B$84:AC84,0%)),"-",IRR($B$84:AC84,0%))</f>
        <v>5.0826777789444222E-2</v>
      </c>
      <c r="AD89" s="191">
        <f>IF(ISERROR(IRR($B$84:AD84,0%)),"-",IRR($B$84:AD84,0%))</f>
        <v>5.0826777789444222E-2</v>
      </c>
      <c r="AE89" s="191">
        <f>IF(ISERROR(IRR($B$84:AE84,0%)),"-",IRR($B$84:AE84,0%))</f>
        <v>5.0826777789444222E-2</v>
      </c>
      <c r="AF89" s="191">
        <f>IF(ISERROR(IRR($B$84:AF84,0%)),"-",IRR($B$84:AF84,0%))</f>
        <v>5.0826777789444222E-2</v>
      </c>
    </row>
    <row r="90" spans="1:38" s="192" customFormat="1">
      <c r="A90" s="190"/>
      <c r="B90" s="191"/>
      <c r="C90" s="191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</row>
    <row r="91" spans="1:38" s="192" customFormat="1">
      <c r="A91" s="741" t="str">
        <f>'Calc A'!A91</f>
        <v>Cálculo Tiempo Amortización</v>
      </c>
      <c r="B91" s="742"/>
      <c r="C91" s="742"/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742"/>
      <c r="P91" s="742"/>
      <c r="Q91" s="742"/>
      <c r="R91" s="742"/>
      <c r="S91" s="742"/>
      <c r="T91" s="742"/>
      <c r="U91" s="742"/>
      <c r="V91" s="742"/>
      <c r="W91" s="742"/>
      <c r="X91" s="742"/>
      <c r="Y91" s="742"/>
      <c r="Z91" s="742"/>
      <c r="AA91" s="742"/>
      <c r="AB91" s="742"/>
      <c r="AC91" s="742"/>
      <c r="AD91" s="742"/>
      <c r="AE91" s="742"/>
      <c r="AF91" s="743"/>
    </row>
    <row r="92" spans="1:38" s="192" customFormat="1">
      <c r="A92" s="740" t="str">
        <f>'Calc A'!A92</f>
        <v>Resultado Operacional después de Impuestos más Depreciación (Flujo de Caja)</v>
      </c>
      <c r="B92" s="740"/>
      <c r="C92" s="740">
        <f>C83</f>
        <v>765.73333333333358</v>
      </c>
      <c r="D92" s="740">
        <f t="shared" ref="D92:V92" si="44">D83</f>
        <v>858.06246399999964</v>
      </c>
      <c r="E92" s="740">
        <f t="shared" si="44"/>
        <v>961.25645324416064</v>
      </c>
      <c r="F92" s="740">
        <f t="shared" si="44"/>
        <v>1106.5650631043209</v>
      </c>
      <c r="G92" s="740">
        <f t="shared" si="44"/>
        <v>1323.9993462034258</v>
      </c>
      <c r="H92" s="740">
        <f t="shared" si="44"/>
        <v>1551.0545850003982</v>
      </c>
      <c r="I92" s="740">
        <f t="shared" si="44"/>
        <v>1788.2197583984848</v>
      </c>
      <c r="J92" s="740">
        <f t="shared" si="44"/>
        <v>2036.0110952663767</v>
      </c>
      <c r="K92" s="740">
        <f t="shared" si="44"/>
        <v>2294.9736719292732</v>
      </c>
      <c r="L92" s="740">
        <f t="shared" si="44"/>
        <v>2539.2896534803663</v>
      </c>
      <c r="M92" s="740">
        <f t="shared" si="44"/>
        <v>2762.9104065686984</v>
      </c>
      <c r="N92" s="740">
        <f t="shared" si="44"/>
        <v>2996.7987927950167</v>
      </c>
      <c r="O92" s="740">
        <f t="shared" si="44"/>
        <v>3241.4907884591671</v>
      </c>
      <c r="P92" s="740">
        <f t="shared" si="44"/>
        <v>3497.5527037386923</v>
      </c>
      <c r="Q92" s="740">
        <f t="shared" si="44"/>
        <v>3765.5829748754363</v>
      </c>
      <c r="R92" s="740">
        <f t="shared" si="44"/>
        <v>4046.2140644692254</v>
      </c>
      <c r="S92" s="740">
        <f t="shared" si="44"/>
        <v>4340.1144764622477</v>
      </c>
      <c r="T92" s="740">
        <f t="shared" si="44"/>
        <v>4647.990892800417</v>
      </c>
      <c r="U92" s="740">
        <f t="shared" si="44"/>
        <v>4970.5904391852655</v>
      </c>
      <c r="V92" s="740">
        <f t="shared" si="44"/>
        <v>5298.3234845193529</v>
      </c>
      <c r="W92" s="740">
        <f t="shared" ref="W92:AF92" si="45">W83</f>
        <v>5496.3952282869222</v>
      </c>
      <c r="X92" s="740">
        <f t="shared" si="45"/>
        <v>5632.0621511488316</v>
      </c>
      <c r="Y92" s="740">
        <f t="shared" si="45"/>
        <v>5771.4120307210096</v>
      </c>
      <c r="Z92" s="740">
        <f t="shared" si="45"/>
        <v>5914.5445415005088</v>
      </c>
      <c r="AA92" s="740">
        <f t="shared" si="45"/>
        <v>6061.5620460704185</v>
      </c>
      <c r="AB92" s="740">
        <f t="shared" si="45"/>
        <v>0</v>
      </c>
      <c r="AC92" s="740">
        <f t="shared" si="45"/>
        <v>0</v>
      </c>
      <c r="AD92" s="740">
        <f t="shared" si="45"/>
        <v>0</v>
      </c>
      <c r="AE92" s="740">
        <f t="shared" si="45"/>
        <v>0</v>
      </c>
      <c r="AF92" s="740">
        <f t="shared" si="45"/>
        <v>0</v>
      </c>
    </row>
    <row r="93" spans="1:38" s="192" customFormat="1">
      <c r="A93" s="740" t="str">
        <f>'Calc A'!A93</f>
        <v>Flujo de Caja Acumulado</v>
      </c>
      <c r="B93" s="719">
        <f>-B21</f>
        <v>61000</v>
      </c>
      <c r="C93" s="719">
        <f>C92</f>
        <v>765.73333333333358</v>
      </c>
      <c r="D93" s="719">
        <f>C93+D92</f>
        <v>1623.7957973333332</v>
      </c>
      <c r="E93" s="719">
        <f t="shared" ref="E93:V93" si="46">D93+E92</f>
        <v>2585.0522505774939</v>
      </c>
      <c r="F93" s="719">
        <f t="shared" si="46"/>
        <v>3691.6173136818147</v>
      </c>
      <c r="G93" s="719">
        <f t="shared" si="46"/>
        <v>5015.6166598852406</v>
      </c>
      <c r="H93" s="719">
        <f t="shared" si="46"/>
        <v>6566.6712448856388</v>
      </c>
      <c r="I93" s="719">
        <f t="shared" si="46"/>
        <v>8354.8910032841231</v>
      </c>
      <c r="J93" s="719">
        <f t="shared" si="46"/>
        <v>10390.902098550499</v>
      </c>
      <c r="K93" s="719">
        <f t="shared" si="46"/>
        <v>12685.875770479772</v>
      </c>
      <c r="L93" s="719">
        <f t="shared" si="46"/>
        <v>15225.165423960138</v>
      </c>
      <c r="M93" s="719">
        <f t="shared" si="46"/>
        <v>17988.075830528836</v>
      </c>
      <c r="N93" s="719">
        <f t="shared" si="46"/>
        <v>20984.874623323853</v>
      </c>
      <c r="O93" s="719">
        <f t="shared" si="46"/>
        <v>24226.365411783019</v>
      </c>
      <c r="P93" s="719">
        <f t="shared" si="46"/>
        <v>27723.918115521712</v>
      </c>
      <c r="Q93" s="719">
        <f t="shared" si="46"/>
        <v>31489.501090397149</v>
      </c>
      <c r="R93" s="719">
        <f t="shared" si="46"/>
        <v>35535.715154866375</v>
      </c>
      <c r="S93" s="719">
        <f t="shared" si="46"/>
        <v>39875.829631328626</v>
      </c>
      <c r="T93" s="719">
        <f t="shared" si="46"/>
        <v>44523.820524129042</v>
      </c>
      <c r="U93" s="719">
        <f t="shared" si="46"/>
        <v>49494.410963314309</v>
      </c>
      <c r="V93" s="719">
        <f t="shared" si="46"/>
        <v>54792.73444783366</v>
      </c>
      <c r="W93" s="719">
        <f t="shared" ref="W93:AF93" si="47">V93+W92</f>
        <v>60289.129676120581</v>
      </c>
      <c r="X93" s="719">
        <f t="shared" si="47"/>
        <v>65921.191827269417</v>
      </c>
      <c r="Y93" s="719">
        <f t="shared" si="47"/>
        <v>71692.603857990427</v>
      </c>
      <c r="Z93" s="719">
        <f t="shared" si="47"/>
        <v>77607.148399490936</v>
      </c>
      <c r="AA93" s="719">
        <f t="shared" si="47"/>
        <v>83668.710445561359</v>
      </c>
      <c r="AB93" s="719">
        <f t="shared" si="47"/>
        <v>83668.710445561359</v>
      </c>
      <c r="AC93" s="719">
        <f t="shared" si="47"/>
        <v>83668.710445561359</v>
      </c>
      <c r="AD93" s="719">
        <f t="shared" si="47"/>
        <v>83668.710445561359</v>
      </c>
      <c r="AE93" s="719">
        <f t="shared" si="47"/>
        <v>83668.710445561359</v>
      </c>
      <c r="AF93" s="719">
        <f t="shared" si="47"/>
        <v>83668.710445561359</v>
      </c>
      <c r="AG93" s="62">
        <f>IF(B93&gt;MAX(C93:AF93),languages!A171,MATCH(B93,C93:AF93))</f>
        <v>21</v>
      </c>
      <c r="AH93" s="176" t="str">
        <f>languages!A169</f>
        <v>Años</v>
      </c>
    </row>
    <row r="94" spans="1:38" s="192" customFormat="1">
      <c r="A94" s="740" t="str">
        <f>'Calc A'!A94</f>
        <v>Tiempo de Amortización</v>
      </c>
      <c r="B94" s="719"/>
      <c r="C94" s="720">
        <f>IF(C93&gt;B93,B93/C93,0)</f>
        <v>0</v>
      </c>
      <c r="D94" s="719">
        <f t="shared" ref="D94:V94" si="48">IF($AG93=C$41,($B93-C93)/(D93-C93)*12,0)</f>
        <v>0</v>
      </c>
      <c r="E94" s="719">
        <f t="shared" si="48"/>
        <v>0</v>
      </c>
      <c r="F94" s="719">
        <f t="shared" si="48"/>
        <v>0</v>
      </c>
      <c r="G94" s="719">
        <f t="shared" si="48"/>
        <v>0</v>
      </c>
      <c r="H94" s="719">
        <f t="shared" si="48"/>
        <v>0</v>
      </c>
      <c r="I94" s="719">
        <f t="shared" si="48"/>
        <v>0</v>
      </c>
      <c r="J94" s="719">
        <f t="shared" si="48"/>
        <v>0</v>
      </c>
      <c r="K94" s="719">
        <f t="shared" si="48"/>
        <v>0</v>
      </c>
      <c r="L94" s="719">
        <f t="shared" si="48"/>
        <v>0</v>
      </c>
      <c r="M94" s="719">
        <f t="shared" si="48"/>
        <v>0</v>
      </c>
      <c r="N94" s="719">
        <f t="shared" si="48"/>
        <v>0</v>
      </c>
      <c r="O94" s="719">
        <f t="shared" si="48"/>
        <v>0</v>
      </c>
      <c r="P94" s="719">
        <f t="shared" si="48"/>
        <v>0</v>
      </c>
      <c r="Q94" s="719">
        <f t="shared" si="48"/>
        <v>0</v>
      </c>
      <c r="R94" s="719">
        <f t="shared" si="48"/>
        <v>0</v>
      </c>
      <c r="S94" s="719">
        <f t="shared" si="48"/>
        <v>0</v>
      </c>
      <c r="T94" s="719">
        <f t="shared" si="48"/>
        <v>0</v>
      </c>
      <c r="U94" s="719">
        <f t="shared" si="48"/>
        <v>0</v>
      </c>
      <c r="V94" s="719">
        <f t="shared" si="48"/>
        <v>0</v>
      </c>
      <c r="W94" s="719">
        <f t="shared" ref="W94:AF94" si="49">IF($AG93=V$41,($B93-V93)/(W93-V93)*12,0)</f>
        <v>0</v>
      </c>
      <c r="X94" s="719">
        <f t="shared" si="49"/>
        <v>1.514621759778161</v>
      </c>
      <c r="Y94" s="719">
        <f t="shared" si="49"/>
        <v>0</v>
      </c>
      <c r="Z94" s="719">
        <f t="shared" si="49"/>
        <v>0</v>
      </c>
      <c r="AA94" s="719">
        <f t="shared" si="49"/>
        <v>0</v>
      </c>
      <c r="AB94" s="719">
        <f t="shared" si="49"/>
        <v>0</v>
      </c>
      <c r="AC94" s="719">
        <f t="shared" si="49"/>
        <v>0</v>
      </c>
      <c r="AD94" s="719">
        <f t="shared" si="49"/>
        <v>0</v>
      </c>
      <c r="AE94" s="719">
        <f t="shared" si="49"/>
        <v>0</v>
      </c>
      <c r="AF94" s="719">
        <f t="shared" si="49"/>
        <v>0</v>
      </c>
      <c r="AG94" s="180">
        <f>ROUND(SUM(C94:AF94),0)</f>
        <v>2</v>
      </c>
      <c r="AH94" s="176" t="str">
        <f>languages!A170</f>
        <v>Mes(es)</v>
      </c>
    </row>
    <row r="95" spans="1:38" s="192" customFormat="1">
      <c r="A95" s="740" t="str">
        <f>'Calc A'!A95</f>
        <v>Flujo de Caja (Después de Intereses)</v>
      </c>
      <c r="B95" s="719"/>
      <c r="C95" s="719">
        <f>C92/(1+$B6)^C41</f>
        <v>696.12121212121224</v>
      </c>
      <c r="D95" s="719">
        <f t="shared" ref="D95:V95" si="50">D92/(1+$B6)^D41</f>
        <v>709.14253223140452</v>
      </c>
      <c r="E95" s="719">
        <f t="shared" si="50"/>
        <v>722.20620078449315</v>
      </c>
      <c r="F95" s="719">
        <f t="shared" si="50"/>
        <v>755.79882733714953</v>
      </c>
      <c r="G95" s="719">
        <f t="shared" si="50"/>
        <v>822.09942577408731</v>
      </c>
      <c r="H95" s="719">
        <f t="shared" si="50"/>
        <v>875.52987732310521</v>
      </c>
      <c r="I95" s="719">
        <f t="shared" si="50"/>
        <v>917.63948620273493</v>
      </c>
      <c r="J95" s="719">
        <f t="shared" si="50"/>
        <v>949.8142021306669</v>
      </c>
      <c r="K95" s="719">
        <f t="shared" si="50"/>
        <v>973.2928684927607</v>
      </c>
      <c r="L95" s="719">
        <f t="shared" si="50"/>
        <v>979.00608581719553</v>
      </c>
      <c r="M95" s="719">
        <f t="shared" si="50"/>
        <v>968.38324231598176</v>
      </c>
      <c r="N95" s="719">
        <f t="shared" si="50"/>
        <v>954.87244986168548</v>
      </c>
      <c r="O95" s="719">
        <f t="shared" si="50"/>
        <v>938.94441866121167</v>
      </c>
      <c r="P95" s="719">
        <f t="shared" si="50"/>
        <v>921.01494047713038</v>
      </c>
      <c r="Q95" s="719">
        <f t="shared" si="50"/>
        <v>901.45062542506162</v>
      </c>
      <c r="R95" s="719">
        <f t="shared" si="50"/>
        <v>880.57407007238191</v>
      </c>
      <c r="S95" s="719">
        <f t="shared" si="50"/>
        <v>858.66851158435622</v>
      </c>
      <c r="T95" s="719">
        <f t="shared" si="50"/>
        <v>835.98201748812858</v>
      </c>
      <c r="U95" s="719">
        <f t="shared" si="50"/>
        <v>812.73125593288046</v>
      </c>
      <c r="V95" s="719">
        <f t="shared" si="50"/>
        <v>787.56202518447844</v>
      </c>
      <c r="W95" s="719">
        <f t="shared" ref="W95:AF95" si="51">W92/(1+$B6)^W41</f>
        <v>742.73102526105311</v>
      </c>
      <c r="X95" s="719">
        <f t="shared" si="51"/>
        <v>691.87615818530924</v>
      </c>
      <c r="Y95" s="719">
        <f t="shared" si="51"/>
        <v>644.54066346247942</v>
      </c>
      <c r="Z95" s="719">
        <f t="shared" si="51"/>
        <v>600.47767144254476</v>
      </c>
      <c r="AA95" s="719">
        <f t="shared" si="51"/>
        <v>559.45791955427603</v>
      </c>
      <c r="AB95" s="719">
        <f t="shared" si="51"/>
        <v>0</v>
      </c>
      <c r="AC95" s="719">
        <f t="shared" si="51"/>
        <v>0</v>
      </c>
      <c r="AD95" s="719">
        <f t="shared" si="51"/>
        <v>0</v>
      </c>
      <c r="AE95" s="719">
        <f t="shared" si="51"/>
        <v>0</v>
      </c>
      <c r="AF95" s="719">
        <f t="shared" si="51"/>
        <v>0</v>
      </c>
    </row>
    <row r="96" spans="1:38" s="192" customFormat="1">
      <c r="A96" s="740" t="str">
        <f>'Calc A'!A96</f>
        <v>Flujo de Caja Acumulado (Después de Intereses)</v>
      </c>
      <c r="B96" s="719">
        <f>B93</f>
        <v>61000</v>
      </c>
      <c r="C96" s="719">
        <f>C95</f>
        <v>696.12121212121224</v>
      </c>
      <c r="D96" s="719">
        <f>C96+D95</f>
        <v>1405.2637443526169</v>
      </c>
      <c r="E96" s="719">
        <f t="shared" ref="E96:V96" si="52">D96+E95</f>
        <v>2127.4699451371098</v>
      </c>
      <c r="F96" s="719">
        <f t="shared" si="52"/>
        <v>2883.2687724742591</v>
      </c>
      <c r="G96" s="719">
        <f t="shared" si="52"/>
        <v>3705.3681982483463</v>
      </c>
      <c r="H96" s="719">
        <f t="shared" si="52"/>
        <v>4580.898075571451</v>
      </c>
      <c r="I96" s="719">
        <f t="shared" si="52"/>
        <v>5498.5375617741856</v>
      </c>
      <c r="J96" s="719">
        <f t="shared" si="52"/>
        <v>6448.3517639048523</v>
      </c>
      <c r="K96" s="719">
        <f t="shared" si="52"/>
        <v>7421.6446323976133</v>
      </c>
      <c r="L96" s="719">
        <f t="shared" si="52"/>
        <v>8400.6507182148089</v>
      </c>
      <c r="M96" s="719">
        <f t="shared" si="52"/>
        <v>9369.0339605307909</v>
      </c>
      <c r="N96" s="719">
        <f t="shared" si="52"/>
        <v>10323.906410392476</v>
      </c>
      <c r="O96" s="719">
        <f t="shared" si="52"/>
        <v>11262.850829053687</v>
      </c>
      <c r="P96" s="719">
        <f t="shared" si="52"/>
        <v>12183.865769530817</v>
      </c>
      <c r="Q96" s="719">
        <f t="shared" si="52"/>
        <v>13085.316394955878</v>
      </c>
      <c r="R96" s="719">
        <f t="shared" si="52"/>
        <v>13965.89046502826</v>
      </c>
      <c r="S96" s="719">
        <f t="shared" si="52"/>
        <v>14824.558976612616</v>
      </c>
      <c r="T96" s="719">
        <f t="shared" si="52"/>
        <v>15660.540994100744</v>
      </c>
      <c r="U96" s="719">
        <f t="shared" si="52"/>
        <v>16473.272250033624</v>
      </c>
      <c r="V96" s="719">
        <f t="shared" si="52"/>
        <v>17260.834275218102</v>
      </c>
      <c r="W96" s="719">
        <f t="shared" ref="W96:AF96" si="53">V96+W95</f>
        <v>18003.565300479153</v>
      </c>
      <c r="X96" s="719">
        <f t="shared" si="53"/>
        <v>18695.441458664463</v>
      </c>
      <c r="Y96" s="719">
        <f t="shared" si="53"/>
        <v>19339.982122126941</v>
      </c>
      <c r="Z96" s="719">
        <f t="shared" si="53"/>
        <v>19940.459793569487</v>
      </c>
      <c r="AA96" s="719">
        <f t="shared" si="53"/>
        <v>20499.917713123763</v>
      </c>
      <c r="AB96" s="719">
        <f t="shared" si="53"/>
        <v>20499.917713123763</v>
      </c>
      <c r="AC96" s="719">
        <f t="shared" si="53"/>
        <v>20499.917713123763</v>
      </c>
      <c r="AD96" s="719">
        <f t="shared" si="53"/>
        <v>20499.917713123763</v>
      </c>
      <c r="AE96" s="719">
        <f t="shared" si="53"/>
        <v>20499.917713123763</v>
      </c>
      <c r="AF96" s="719">
        <f t="shared" si="53"/>
        <v>20499.917713123763</v>
      </c>
      <c r="AG96" s="62" t="str">
        <f>IF(B96&gt;MAX(C96:AF96),languages!A171,MATCH(B96,C96:AF96))</f>
        <v>NO Rentable Económicamente</v>
      </c>
      <c r="AH96" s="176" t="str">
        <f>languages!A169</f>
        <v>Años</v>
      </c>
    </row>
    <row r="97" spans="1:98" s="192" customFormat="1">
      <c r="A97" s="740" t="str">
        <f>'Calc A'!A97</f>
        <v>Tiempo de Amortización Mensual</v>
      </c>
      <c r="B97" s="719"/>
      <c r="C97" s="720">
        <f>IF(C96&gt;B96,B96/C96,0)</f>
        <v>0</v>
      </c>
      <c r="D97" s="719">
        <f>IF($AG96=C$41,($B96-C96)/(D96-C96)*12,0)</f>
        <v>0</v>
      </c>
      <c r="E97" s="719">
        <f t="shared" ref="E97:V97" si="54">IF($AG$96=D41,($B$96-D96)/(E96-D96)*12,0)</f>
        <v>0</v>
      </c>
      <c r="F97" s="719">
        <f t="shared" si="54"/>
        <v>0</v>
      </c>
      <c r="G97" s="719">
        <f t="shared" si="54"/>
        <v>0</v>
      </c>
      <c r="H97" s="719">
        <f t="shared" si="54"/>
        <v>0</v>
      </c>
      <c r="I97" s="719">
        <f t="shared" si="54"/>
        <v>0</v>
      </c>
      <c r="J97" s="719">
        <f t="shared" si="54"/>
        <v>0</v>
      </c>
      <c r="K97" s="719">
        <f t="shared" si="54"/>
        <v>0</v>
      </c>
      <c r="L97" s="719">
        <f t="shared" si="54"/>
        <v>0</v>
      </c>
      <c r="M97" s="719">
        <f t="shared" si="54"/>
        <v>0</v>
      </c>
      <c r="N97" s="719">
        <f t="shared" si="54"/>
        <v>0</v>
      </c>
      <c r="O97" s="719">
        <f t="shared" si="54"/>
        <v>0</v>
      </c>
      <c r="P97" s="719">
        <f t="shared" si="54"/>
        <v>0</v>
      </c>
      <c r="Q97" s="719">
        <f t="shared" si="54"/>
        <v>0</v>
      </c>
      <c r="R97" s="719">
        <f t="shared" si="54"/>
        <v>0</v>
      </c>
      <c r="S97" s="719">
        <f t="shared" si="54"/>
        <v>0</v>
      </c>
      <c r="T97" s="719">
        <f t="shared" si="54"/>
        <v>0</v>
      </c>
      <c r="U97" s="719">
        <f t="shared" si="54"/>
        <v>0</v>
      </c>
      <c r="V97" s="719">
        <f t="shared" si="54"/>
        <v>0</v>
      </c>
      <c r="W97" s="719">
        <f t="shared" ref="W97:AF97" si="55">IF($AG$96=V41,($B$96-V96)/(W96-V96)*12,0)</f>
        <v>0</v>
      </c>
      <c r="X97" s="719">
        <f t="shared" si="55"/>
        <v>0</v>
      </c>
      <c r="Y97" s="719">
        <f t="shared" si="55"/>
        <v>0</v>
      </c>
      <c r="Z97" s="719">
        <f t="shared" si="55"/>
        <v>0</v>
      </c>
      <c r="AA97" s="719">
        <f t="shared" si="55"/>
        <v>0</v>
      </c>
      <c r="AB97" s="719">
        <f t="shared" si="55"/>
        <v>0</v>
      </c>
      <c r="AC97" s="719">
        <f t="shared" si="55"/>
        <v>0</v>
      </c>
      <c r="AD97" s="719">
        <f t="shared" si="55"/>
        <v>0</v>
      </c>
      <c r="AE97" s="719">
        <f t="shared" si="55"/>
        <v>0</v>
      </c>
      <c r="AF97" s="719">
        <f t="shared" si="55"/>
        <v>0</v>
      </c>
      <c r="AG97" s="180">
        <f>ROUND(SUM(C97:AF97),0)</f>
        <v>0</v>
      </c>
      <c r="AH97" s="176" t="str">
        <f>languages!A170</f>
        <v>Mes(es)</v>
      </c>
    </row>
    <row r="98" spans="1:98" s="192" customFormat="1">
      <c r="A98" s="190"/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</row>
    <row r="99" spans="1:98" s="192" customFormat="1">
      <c r="A99" s="183" t="str">
        <f>'Calc A'!A99</f>
        <v>Valor Presente Neto de acuerdo a Inversión Total</v>
      </c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</row>
    <row r="100" spans="1:98" s="192" customFormat="1">
      <c r="A100" s="183" t="str">
        <f>'Calc A'!A100</f>
        <v>Flujo de Caja Sin Financiamiento</v>
      </c>
      <c r="B100" s="453">
        <f>B21</f>
        <v>-61000</v>
      </c>
      <c r="C100" s="452">
        <f>C60+C51+C68</f>
        <v>3685.6000000000004</v>
      </c>
      <c r="D100" s="452">
        <f t="shared" ref="D100:AF100" si="56">D60+D51+D68</f>
        <v>3786.0624639999996</v>
      </c>
      <c r="E100" s="452">
        <f t="shared" si="56"/>
        <v>3889.2564532441606</v>
      </c>
      <c r="F100" s="452">
        <f t="shared" si="56"/>
        <v>3995.2560246678022</v>
      </c>
      <c r="G100" s="452">
        <f t="shared" si="56"/>
        <v>4104.1372365006191</v>
      </c>
      <c r="H100" s="452">
        <f t="shared" si="56"/>
        <v>4215.9782021471547</v>
      </c>
      <c r="I100" s="452">
        <f t="shared" si="56"/>
        <v>4330.8591455116157</v>
      </c>
      <c r="J100" s="452">
        <f t="shared" si="56"/>
        <v>4448.8624578055742</v>
      </c>
      <c r="K100" s="452">
        <f t="shared" si="56"/>
        <v>4570.0727558780754</v>
      </c>
      <c r="L100" s="452">
        <f t="shared" si="56"/>
        <v>4668.183489917782</v>
      </c>
      <c r="M100" s="452">
        <f t="shared" si="56"/>
        <v>4736.6273223874232</v>
      </c>
      <c r="N100" s="452">
        <f t="shared" si="56"/>
        <v>4805.8165811708332</v>
      </c>
      <c r="O100" s="452">
        <f t="shared" si="56"/>
        <v>4875.7029261473399</v>
      </c>
      <c r="P100" s="452">
        <f t="shared" si="56"/>
        <v>4946.2324953437137</v>
      </c>
      <c r="Q100" s="452">
        <f t="shared" si="56"/>
        <v>5017.3454968858578</v>
      </c>
      <c r="R100" s="452">
        <f t="shared" si="56"/>
        <v>5088.9757740433406</v>
      </c>
      <c r="S100" s="452">
        <f t="shared" si="56"/>
        <v>5161.0503416654574</v>
      </c>
      <c r="T100" s="452">
        <f t="shared" si="56"/>
        <v>5233.4888922017326</v>
      </c>
      <c r="U100" s="452">
        <f t="shared" si="56"/>
        <v>5306.2032693875108</v>
      </c>
      <c r="V100" s="452">
        <f t="shared" si="56"/>
        <v>5381.8560426010408</v>
      </c>
      <c r="W100" s="452">
        <f t="shared" si="56"/>
        <v>5496.3952282869222</v>
      </c>
      <c r="X100" s="452">
        <f t="shared" si="56"/>
        <v>5632.0621511488316</v>
      </c>
      <c r="Y100" s="452">
        <f t="shared" si="56"/>
        <v>5771.4120307210096</v>
      </c>
      <c r="Z100" s="452">
        <f t="shared" si="56"/>
        <v>5914.5445415005088</v>
      </c>
      <c r="AA100" s="452">
        <f t="shared" si="56"/>
        <v>6061.5620460704185</v>
      </c>
      <c r="AB100" s="452">
        <f t="shared" si="56"/>
        <v>0</v>
      </c>
      <c r="AC100" s="452">
        <f t="shared" si="56"/>
        <v>0</v>
      </c>
      <c r="AD100" s="452">
        <f t="shared" si="56"/>
        <v>0</v>
      </c>
      <c r="AE100" s="452">
        <f t="shared" si="56"/>
        <v>0</v>
      </c>
      <c r="AF100" s="452">
        <f t="shared" si="56"/>
        <v>0</v>
      </c>
    </row>
    <row r="101" spans="1:98" s="151" customFormat="1">
      <c r="A101" s="166" t="s">
        <v>773</v>
      </c>
      <c r="B101" s="454">
        <f>IRR(B100:V100)</f>
        <v>4.0176859994191627E-2</v>
      </c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149"/>
    </row>
    <row r="102" spans="1:98" s="11" customForma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3"/>
    </row>
    <row r="103" spans="1:98" s="11" customFormat="1">
      <c r="A103" s="5" t="str">
        <f>'Calc A'!A103</f>
        <v>Periodo Amortización Sencillo</v>
      </c>
      <c r="B103" s="270" t="str">
        <f>IF(B9=0,0,IF(C93&gt;B93,CONCATENATE(ROUND(C94,2)," ",languages!A$169),CONCATENATE(AG93," ",languages!A$169," &amp; ",AG94," ",languages!A$170)))</f>
        <v>21 Años &amp; 2 Mes(es)</v>
      </c>
      <c r="C103" s="3"/>
      <c r="D103" s="3"/>
      <c r="E103" s="14"/>
      <c r="F103" s="14"/>
      <c r="G103" s="14"/>
      <c r="H103" s="14"/>
      <c r="I103" s="14"/>
      <c r="J103" s="14"/>
      <c r="K103" s="14"/>
      <c r="L103" s="14"/>
      <c r="M103" s="14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98">
      <c r="A104" s="5" t="str">
        <f>'Calc A'!A104</f>
        <v>Periodo Amortazión Descontado</v>
      </c>
      <c r="B104" s="270" t="str">
        <f>IF(B9=0,0,IF(C96&gt;B96,CONCATENATE(ROUND(C97,2)," ",languages!A$169),CONCATENATE(AG96," ",languages!A$169," &amp; ",AG97," ",languages!A$170)))</f>
        <v>NO Rentable Económicamente Años &amp; 0 Mes(es)</v>
      </c>
      <c r="E104" s="14"/>
      <c r="F104" s="14"/>
      <c r="G104" s="14"/>
      <c r="H104" s="14"/>
      <c r="I104" s="14"/>
      <c r="J104" s="14"/>
      <c r="K104" s="14"/>
      <c r="L104" s="14"/>
      <c r="M104" s="14"/>
      <c r="AH104" s="13"/>
    </row>
    <row r="105" spans="1:98">
      <c r="A105" s="5" t="str">
        <f>'Calc A'!A105</f>
        <v>Tasa Interna de Retorno</v>
      </c>
      <c r="B105" s="546">
        <f>IF(B9=0,0,IFERROR(HLOOKUP(B9,C41:AF89,49,FALSE),languages!A171))</f>
        <v>5.0826777789444222E-2</v>
      </c>
      <c r="E105" s="14"/>
      <c r="F105" s="14"/>
      <c r="G105" s="14"/>
      <c r="H105" s="14"/>
      <c r="I105" s="14"/>
      <c r="J105" s="14"/>
      <c r="K105" s="14"/>
      <c r="L105" s="14"/>
      <c r="M105" s="14"/>
    </row>
    <row r="106" spans="1:98">
      <c r="A106" s="5" t="str">
        <f>'Calc A'!A106</f>
        <v>Valor Presente Neto</v>
      </c>
      <c r="B106" s="271">
        <f>IF('Calc A'!B106=0,0,(NPV(B6,C100:AF100)+B21))</f>
        <v>-20821.74384951064</v>
      </c>
      <c r="C106" s="15"/>
      <c r="AH106" s="9"/>
    </row>
    <row r="107" spans="1:98" s="16" customFormat="1">
      <c r="A107" s="3"/>
      <c r="B107" s="209"/>
      <c r="C107" s="209"/>
      <c r="D107" s="3"/>
      <c r="E107" s="14"/>
      <c r="F107" s="14"/>
      <c r="G107" s="14"/>
      <c r="H107" s="14"/>
      <c r="I107" s="14"/>
      <c r="J107" s="14"/>
      <c r="K107" s="14"/>
      <c r="L107" s="14"/>
      <c r="M107" s="14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12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</row>
    <row r="108" spans="1:98" s="17" customFormat="1" ht="123" customHeight="1">
      <c r="A108" s="3"/>
      <c r="B108" s="3"/>
      <c r="C108" s="3"/>
      <c r="D108" s="3"/>
      <c r="E108" s="1"/>
      <c r="F108" s="12"/>
      <c r="G108" s="12"/>
      <c r="H108" s="12"/>
      <c r="I108" s="12"/>
      <c r="J108" s="12"/>
      <c r="K108" s="12"/>
      <c r="L108" s="12"/>
      <c r="M108" s="1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</row>
    <row r="109" spans="1:98" s="62" customFormat="1">
      <c r="A109" s="61" t="s">
        <v>54</v>
      </c>
      <c r="B109" s="61"/>
      <c r="C109" s="61"/>
      <c r="D109" s="61"/>
      <c r="E109" s="65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</row>
    <row r="110" spans="1:98" s="62" customFormat="1">
      <c r="A110" s="63" t="s">
        <v>16</v>
      </c>
      <c r="B110" s="63">
        <f>'Calc A'!B70</f>
        <v>-61000</v>
      </c>
      <c r="C110" s="63">
        <f>'Calc A'!C70</f>
        <v>-1674.2666666666664</v>
      </c>
      <c r="D110" s="63">
        <f>'Calc A'!D70</f>
        <v>-1581.9375360000004</v>
      </c>
      <c r="E110" s="63">
        <f>'Calc A'!E70</f>
        <v>-1478.7435467558394</v>
      </c>
      <c r="F110" s="63">
        <f>'Calc A'!F70</f>
        <v>-1333.4349368956791</v>
      </c>
      <c r="G110" s="63">
        <f>'Calc A'!G70</f>
        <v>-1116.0006537965742</v>
      </c>
      <c r="H110" s="63">
        <f>'Calc A'!H70</f>
        <v>-888.94541499960178</v>
      </c>
      <c r="I110" s="63">
        <f>'Calc A'!I70</f>
        <v>-651.78024160151517</v>
      </c>
      <c r="J110" s="63">
        <f>'Calc A'!J70</f>
        <v>-403.98890473362326</v>
      </c>
      <c r="K110" s="63">
        <f>'Calc A'!K70</f>
        <v>-145.02632807072678</v>
      </c>
      <c r="L110" s="63">
        <f>'Calc A'!L70</f>
        <v>99.289653480366098</v>
      </c>
      <c r="M110" s="63">
        <f>'Calc A'!M70</f>
        <v>322.91040656869848</v>
      </c>
      <c r="N110" s="63">
        <f>'Calc A'!N70</f>
        <v>556.79879279501654</v>
      </c>
      <c r="O110" s="63">
        <f>'Calc A'!O70</f>
        <v>801.49078845916722</v>
      </c>
      <c r="P110" s="63">
        <f>'Calc A'!P70</f>
        <v>1057.5527037386923</v>
      </c>
      <c r="Q110" s="63">
        <f>'Calc A'!Q70</f>
        <v>1325.5829748754363</v>
      </c>
      <c r="R110" s="63">
        <f>'Calc A'!R70</f>
        <v>1606.2140644692254</v>
      </c>
      <c r="S110" s="63">
        <f>'Calc A'!S70</f>
        <v>1900.1144764622481</v>
      </c>
      <c r="T110" s="63">
        <f>'Calc A'!T70</f>
        <v>2207.990892800417</v>
      </c>
      <c r="U110" s="63">
        <f>'Calc A'!U70</f>
        <v>2530.5904391852655</v>
      </c>
      <c r="V110" s="63">
        <f>'Calc A'!V70</f>
        <v>2858.3234845193529</v>
      </c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</row>
    <row r="111" spans="1:98" s="62" customFormat="1">
      <c r="A111" s="63" t="s">
        <v>22</v>
      </c>
      <c r="B111" s="63">
        <f>'Calc A'!B71</f>
        <v>61000</v>
      </c>
      <c r="C111" s="63">
        <f>'Calc A'!C71</f>
        <v>-1674.2666666666664</v>
      </c>
      <c r="D111" s="63">
        <f>'Calc A'!D71</f>
        <v>-3256.2042026666668</v>
      </c>
      <c r="E111" s="63">
        <f>'Calc A'!E71</f>
        <v>-4734.9477494225066</v>
      </c>
      <c r="F111" s="63">
        <f>'Calc A'!F71</f>
        <v>-6068.3826863181857</v>
      </c>
      <c r="G111" s="63">
        <f>'Calc A'!G71</f>
        <v>-7184.3833401147604</v>
      </c>
      <c r="H111" s="63">
        <f>'Calc A'!H71</f>
        <v>-8073.3287551143621</v>
      </c>
      <c r="I111" s="63">
        <f>'Calc A'!I71</f>
        <v>-8725.1089967158769</v>
      </c>
      <c r="J111" s="63">
        <f>'Calc A'!J71</f>
        <v>-9129.0979014495006</v>
      </c>
      <c r="K111" s="63">
        <f>'Calc A'!K71</f>
        <v>-9274.1242295202283</v>
      </c>
      <c r="L111" s="63">
        <f>'Calc A'!L71</f>
        <v>-9174.8345760398624</v>
      </c>
      <c r="M111" s="63">
        <f>'Calc A'!M71</f>
        <v>-8851.9241694711636</v>
      </c>
      <c r="N111" s="63">
        <f>'Calc A'!N71</f>
        <v>-8295.1253766761474</v>
      </c>
      <c r="O111" s="63">
        <f>'Calc A'!O71</f>
        <v>-7493.6345882169799</v>
      </c>
      <c r="P111" s="63">
        <f>'Calc A'!P71</f>
        <v>-6436.081884478288</v>
      </c>
      <c r="Q111" s="63">
        <f>'Calc A'!Q71</f>
        <v>-5110.4989096028512</v>
      </c>
      <c r="R111" s="63">
        <f>'Calc A'!R71</f>
        <v>-3504.2848451336258</v>
      </c>
      <c r="S111" s="63">
        <f>'Calc A'!S71</f>
        <v>-1604.1703686713777</v>
      </c>
      <c r="T111" s="63">
        <f>'Calc A'!T71</f>
        <v>603.82052412903931</v>
      </c>
      <c r="U111" s="63">
        <f>'Calc A'!U71</f>
        <v>3134.4109633143048</v>
      </c>
      <c r="V111" s="63">
        <f>'Calc A'!V71</f>
        <v>5992.7344478336581</v>
      </c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2" t="str">
        <f>IF(B111&gt;MAX(C111:V111),"lohnt nicht",MATCH(B111,C111:V111))</f>
        <v>lohnt nicht</v>
      </c>
    </row>
    <row r="112" spans="1:98" s="62" customFormat="1">
      <c r="A112" s="63" t="s">
        <v>53</v>
      </c>
      <c r="B112" s="63">
        <f>'Calc A'!B73</f>
        <v>-61000</v>
      </c>
      <c r="C112" s="63">
        <f>'Calc A'!C73</f>
        <v>-1522.0606060606058</v>
      </c>
      <c r="D112" s="63">
        <f>'Calc A'!D73</f>
        <v>-1307.38639338843</v>
      </c>
      <c r="E112" s="63">
        <f>'Calc A'!E73</f>
        <v>-1111.0019134153561</v>
      </c>
      <c r="F112" s="63">
        <f>'Calc A'!F73</f>
        <v>-910.75400375362256</v>
      </c>
      <c r="G112" s="63">
        <f>'Calc A'!G73</f>
        <v>-692.94860249025078</v>
      </c>
      <c r="H112" s="63">
        <f>'Calc A'!H73</f>
        <v>-501.78651200811112</v>
      </c>
      <c r="I112" s="63">
        <f>'Calc A'!I73</f>
        <v>-334.46632228018871</v>
      </c>
      <c r="J112" s="63">
        <f>'Calc A'!J73</f>
        <v>-188.46380558108206</v>
      </c>
      <c r="K112" s="63">
        <f>'Calc A'!K73</f>
        <v>-61.505320336101846</v>
      </c>
      <c r="L112" s="63">
        <f>'Calc A'!L73</f>
        <v>38.280459609138674</v>
      </c>
      <c r="M112" s="63">
        <f>'Calc A'!M73</f>
        <v>113.17812758138489</v>
      </c>
      <c r="N112" s="63">
        <f>'Calc A'!N73</f>
        <v>177.41325464841552</v>
      </c>
      <c r="O112" s="63">
        <f>'Calc A'!O73</f>
        <v>232.16333210369351</v>
      </c>
      <c r="P112" s="63">
        <f>'Calc A'!P73</f>
        <v>278.48667997029582</v>
      </c>
      <c r="Q112" s="63">
        <f>'Calc A'!Q73</f>
        <v>317.33402496430296</v>
      </c>
      <c r="R112" s="63">
        <f>'Calc A'!R73</f>
        <v>349.55897874441945</v>
      </c>
      <c r="S112" s="63">
        <f>'Calc A'!S73</f>
        <v>375.9275194680269</v>
      </c>
      <c r="T112" s="63">
        <f>'Calc A'!T73</f>
        <v>397.12657010964728</v>
      </c>
      <c r="U112" s="63">
        <f>'Calc A'!U73</f>
        <v>413.77175831607934</v>
      </c>
      <c r="V112" s="63">
        <f>'Calc A'!V73</f>
        <v>424.87157280556835</v>
      </c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</row>
    <row r="113" spans="1:33" s="62" customFormat="1">
      <c r="A113" s="63" t="s">
        <v>22</v>
      </c>
      <c r="B113" s="63">
        <f>'Calc A'!B74</f>
        <v>61000</v>
      </c>
      <c r="C113" s="63">
        <f>'Calc A'!C74</f>
        <v>-1522.0606060606058</v>
      </c>
      <c r="D113" s="63">
        <f>'Calc A'!D74</f>
        <v>-2829.4469994490355</v>
      </c>
      <c r="E113" s="63">
        <f>'Calc A'!E74</f>
        <v>-3940.4489128643918</v>
      </c>
      <c r="F113" s="63">
        <f>'Calc A'!F74</f>
        <v>-4851.2029166180146</v>
      </c>
      <c r="G113" s="63">
        <f>'Calc A'!G74</f>
        <v>-5544.1515191082653</v>
      </c>
      <c r="H113" s="63">
        <f>'Calc A'!H74</f>
        <v>-6045.9380311163768</v>
      </c>
      <c r="I113" s="63">
        <f>'Calc A'!I74</f>
        <v>-6380.4043533965651</v>
      </c>
      <c r="J113" s="63">
        <f>'Calc A'!J74</f>
        <v>-6568.868158977647</v>
      </c>
      <c r="K113" s="63">
        <f>'Calc A'!K74</f>
        <v>-6630.3734793137492</v>
      </c>
      <c r="L113" s="63">
        <f>'Calc A'!L74</f>
        <v>-6592.0930197046109</v>
      </c>
      <c r="M113" s="63">
        <f>'Calc A'!M74</f>
        <v>-6478.9148921232263</v>
      </c>
      <c r="N113" s="63">
        <f>'Calc A'!N74</f>
        <v>-6301.5016374748111</v>
      </c>
      <c r="O113" s="63">
        <f>'Calc A'!O74</f>
        <v>-6069.3383053711177</v>
      </c>
      <c r="P113" s="63">
        <f>'Calc A'!P74</f>
        <v>-5790.8516254008218</v>
      </c>
      <c r="Q113" s="63">
        <f>'Calc A'!Q74</f>
        <v>-5473.5176004365185</v>
      </c>
      <c r="R113" s="63">
        <f>'Calc A'!R74</f>
        <v>-5123.9586216920989</v>
      </c>
      <c r="S113" s="63">
        <f>'Calc A'!S74</f>
        <v>-4748.0311022240721</v>
      </c>
      <c r="T113" s="63">
        <f>'Calc A'!T74</f>
        <v>-4350.9045321144249</v>
      </c>
      <c r="U113" s="63">
        <f>'Calc A'!U74</f>
        <v>-3937.1327737983456</v>
      </c>
      <c r="V113" s="63">
        <f>'Calc A'!V74</f>
        <v>-3512.261200992777</v>
      </c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2" t="str">
        <f>IF(B113&gt;MAX(C113:V113),"lohnt nicht",MATCH(B113,C113:V113))</f>
        <v>lohnt nicht</v>
      </c>
    </row>
    <row r="114" spans="1:33" s="62" customFormat="1">
      <c r="A114" s="61"/>
      <c r="B114" s="61"/>
      <c r="C114" s="61"/>
      <c r="D114" s="61"/>
      <c r="E114" s="65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</row>
    <row r="115" spans="1:33" s="64" customFormat="1">
      <c r="A115" s="61" t="s">
        <v>55</v>
      </c>
      <c r="B115" s="14"/>
      <c r="C115" s="14"/>
      <c r="D115" s="14"/>
      <c r="E115" s="66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</row>
    <row r="116" spans="1:33" s="62" customFormat="1">
      <c r="A116" s="63" t="s">
        <v>16</v>
      </c>
      <c r="B116" s="63">
        <f>B70</f>
        <v>-61000</v>
      </c>
      <c r="C116" s="63">
        <f t="shared" ref="C116:V116" si="57">B116+C69</f>
        <v>-62674.266666666663</v>
      </c>
      <c r="D116" s="63">
        <f t="shared" si="57"/>
        <v>-64256.20420266666</v>
      </c>
      <c r="E116" s="63">
        <f t="shared" si="57"/>
        <v>-65734.947749422499</v>
      </c>
      <c r="F116" s="63">
        <f t="shared" si="57"/>
        <v>-67068.382686318175</v>
      </c>
      <c r="G116" s="63">
        <f t="shared" si="57"/>
        <v>-68184.383340114742</v>
      </c>
      <c r="H116" s="63">
        <f t="shared" si="57"/>
        <v>-69073.328755114344</v>
      </c>
      <c r="I116" s="63">
        <f t="shared" si="57"/>
        <v>-69725.108996715862</v>
      </c>
      <c r="J116" s="63">
        <f t="shared" si="57"/>
        <v>-70129.097901449481</v>
      </c>
      <c r="K116" s="63">
        <f t="shared" si="57"/>
        <v>-70274.12422952021</v>
      </c>
      <c r="L116" s="63">
        <f t="shared" si="57"/>
        <v>-70174.834576039837</v>
      </c>
      <c r="M116" s="63">
        <f t="shared" si="57"/>
        <v>-69851.924169471138</v>
      </c>
      <c r="N116" s="63">
        <f t="shared" si="57"/>
        <v>-69295.125376676122</v>
      </c>
      <c r="O116" s="63">
        <f t="shared" si="57"/>
        <v>-68493.634588216955</v>
      </c>
      <c r="P116" s="63">
        <f t="shared" si="57"/>
        <v>-67436.081884478263</v>
      </c>
      <c r="Q116" s="63">
        <f t="shared" si="57"/>
        <v>-66110.498909602829</v>
      </c>
      <c r="R116" s="63">
        <f t="shared" si="57"/>
        <v>-64504.284845133603</v>
      </c>
      <c r="S116" s="63">
        <f t="shared" si="57"/>
        <v>-62604.170368671352</v>
      </c>
      <c r="T116" s="63">
        <f t="shared" si="57"/>
        <v>-60396.179475870937</v>
      </c>
      <c r="U116" s="63">
        <f t="shared" si="57"/>
        <v>-57865.589036685669</v>
      </c>
      <c r="V116" s="63">
        <f t="shared" si="57"/>
        <v>-55007.265552166318</v>
      </c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</row>
    <row r="117" spans="1:33" s="9" customFormat="1">
      <c r="A117" s="12"/>
      <c r="B117" s="12"/>
      <c r="C117" s="12"/>
      <c r="D117" s="12"/>
      <c r="E117" s="67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outlineLevel="1"/>
    <row r="119" spans="1:33" outlineLevel="1">
      <c r="A119" s="24" t="s">
        <v>8</v>
      </c>
      <c r="B119" s="25"/>
      <c r="C119" s="25"/>
      <c r="D119" s="25"/>
      <c r="F119" s="25"/>
    </row>
    <row r="120" spans="1:33" outlineLevel="1">
      <c r="B120" s="250" t="s">
        <v>7</v>
      </c>
      <c r="C120" s="251">
        <v>-0.6</v>
      </c>
      <c r="D120" s="251">
        <v>-0.5</v>
      </c>
      <c r="E120" s="251">
        <v>-0.4</v>
      </c>
      <c r="F120" s="251">
        <v>-0.3</v>
      </c>
      <c r="G120" s="251">
        <v>-0.2</v>
      </c>
      <c r="H120" s="251">
        <v>-0.1</v>
      </c>
      <c r="I120" s="251">
        <v>0</v>
      </c>
      <c r="J120" s="251">
        <v>0.1</v>
      </c>
      <c r="K120" s="251">
        <v>0.2</v>
      </c>
      <c r="L120" s="251">
        <v>0.3</v>
      </c>
      <c r="M120" s="251">
        <v>0.4</v>
      </c>
      <c r="N120" s="251">
        <v>0.5</v>
      </c>
      <c r="O120" s="251">
        <v>0.6</v>
      </c>
    </row>
    <row r="121" spans="1:33" outlineLevel="1">
      <c r="B121" s="26" t="s">
        <v>0</v>
      </c>
      <c r="C121" s="3">
        <f t="shared" ref="C121:H121" si="58">$B$21*(1+C120)</f>
        <v>-24400</v>
      </c>
      <c r="D121" s="3">
        <f t="shared" si="58"/>
        <v>-30500</v>
      </c>
      <c r="E121" s="3">
        <f t="shared" si="58"/>
        <v>-36600</v>
      </c>
      <c r="F121" s="3">
        <f t="shared" si="58"/>
        <v>-42700</v>
      </c>
      <c r="G121" s="3">
        <f t="shared" si="58"/>
        <v>-48800</v>
      </c>
      <c r="H121" s="3">
        <f t="shared" si="58"/>
        <v>-54900</v>
      </c>
      <c r="I121" s="3">
        <f t="shared" ref="I121:O121" si="59">$B$21*(1+I120)</f>
        <v>-61000</v>
      </c>
      <c r="J121" s="3">
        <f t="shared" si="59"/>
        <v>-67100</v>
      </c>
      <c r="K121" s="3">
        <f t="shared" si="59"/>
        <v>-73200</v>
      </c>
      <c r="L121" s="3">
        <f t="shared" si="59"/>
        <v>-79300</v>
      </c>
      <c r="M121" s="3">
        <f t="shared" si="59"/>
        <v>-85400</v>
      </c>
      <c r="N121" s="3">
        <f t="shared" si="59"/>
        <v>-91500</v>
      </c>
      <c r="O121" s="3">
        <f t="shared" si="59"/>
        <v>-97600</v>
      </c>
    </row>
    <row r="122" spans="1:33" outlineLevel="1">
      <c r="B122" s="26" t="s">
        <v>1</v>
      </c>
      <c r="C122" s="211">
        <f t="shared" ref="C122:H122" si="60">NPV($B$6,$C$83:$V$83)+C121</f>
        <v>-7139.1657247818985</v>
      </c>
      <c r="D122" s="211">
        <f t="shared" si="60"/>
        <v>-13239.165724781898</v>
      </c>
      <c r="E122" s="211">
        <f t="shared" si="60"/>
        <v>-19339.165724781898</v>
      </c>
      <c r="F122" s="211">
        <f t="shared" si="60"/>
        <v>-25439.165724781898</v>
      </c>
      <c r="G122" s="211">
        <f t="shared" si="60"/>
        <v>-31539.165724781898</v>
      </c>
      <c r="H122" s="211">
        <f t="shared" si="60"/>
        <v>-37639.165724781895</v>
      </c>
      <c r="I122" s="211">
        <f t="shared" ref="I122:O122" si="61">NPV($B$6,$C$83:$V$83)+I121</f>
        <v>-43739.165724781895</v>
      </c>
      <c r="J122" s="211">
        <f t="shared" si="61"/>
        <v>-49839.165724781895</v>
      </c>
      <c r="K122" s="211">
        <f t="shared" si="61"/>
        <v>-55939.165724781895</v>
      </c>
      <c r="L122" s="211">
        <f t="shared" si="61"/>
        <v>-62039.165724781895</v>
      </c>
      <c r="M122" s="211">
        <f t="shared" si="61"/>
        <v>-68139.165724781895</v>
      </c>
      <c r="N122" s="211">
        <f t="shared" si="61"/>
        <v>-74239.165724781895</v>
      </c>
      <c r="O122" s="211">
        <f t="shared" si="61"/>
        <v>-80339.165724781895</v>
      </c>
    </row>
    <row r="123" spans="1:33" outlineLevel="1">
      <c r="B123" s="27"/>
      <c r="D123" s="13"/>
    </row>
    <row r="124" spans="1:33" outlineLevel="1">
      <c r="A124" s="24" t="s">
        <v>9</v>
      </c>
      <c r="B124" s="25"/>
      <c r="C124" s="25"/>
      <c r="D124" s="25"/>
    </row>
    <row r="125" spans="1:33" outlineLevel="1">
      <c r="B125" s="28" t="s">
        <v>2</v>
      </c>
      <c r="C125" s="27">
        <v>-0.6</v>
      </c>
      <c r="D125" s="27">
        <v>-0.5</v>
      </c>
      <c r="E125" s="27">
        <v>-0.4</v>
      </c>
      <c r="F125" s="27">
        <v>-0.3</v>
      </c>
      <c r="G125" s="27">
        <v>-0.2</v>
      </c>
      <c r="H125" s="27">
        <v>-0.1</v>
      </c>
      <c r="I125" s="27">
        <v>0</v>
      </c>
      <c r="J125" s="27">
        <v>0.1</v>
      </c>
      <c r="K125" s="27">
        <v>0.2</v>
      </c>
      <c r="L125" s="27">
        <v>0.3</v>
      </c>
      <c r="M125" s="27">
        <v>0.4</v>
      </c>
      <c r="N125" s="27">
        <v>0.5</v>
      </c>
      <c r="O125" s="27">
        <v>0.6</v>
      </c>
    </row>
    <row r="126" spans="1:33">
      <c r="B126" s="29" t="s">
        <v>3</v>
      </c>
      <c r="C126" s="212">
        <f t="shared" ref="C126:H126" si="62">$I126*(1+C125)</f>
        <v>4.0000000000000008E-2</v>
      </c>
      <c r="D126" s="212">
        <f t="shared" si="62"/>
        <v>0.05</v>
      </c>
      <c r="E126" s="212">
        <f t="shared" si="62"/>
        <v>0.06</v>
      </c>
      <c r="F126" s="212">
        <f t="shared" si="62"/>
        <v>6.9999999999999993E-2</v>
      </c>
      <c r="G126" s="212">
        <f t="shared" si="62"/>
        <v>8.0000000000000016E-2</v>
      </c>
      <c r="H126" s="212">
        <f t="shared" si="62"/>
        <v>9.0000000000000011E-2</v>
      </c>
      <c r="I126" s="254">
        <f>$B$6</f>
        <v>0.1</v>
      </c>
      <c r="J126" s="207">
        <f t="shared" ref="J126:O126" si="63">$I126*(1+J125)</f>
        <v>0.11000000000000001</v>
      </c>
      <c r="K126" s="212">
        <f t="shared" si="63"/>
        <v>0.12</v>
      </c>
      <c r="L126" s="212">
        <f t="shared" si="63"/>
        <v>0.13</v>
      </c>
      <c r="M126" s="212">
        <f t="shared" si="63"/>
        <v>0.13999999999999999</v>
      </c>
      <c r="N126" s="212">
        <f t="shared" si="63"/>
        <v>0.15000000000000002</v>
      </c>
      <c r="O126" s="212">
        <f t="shared" si="63"/>
        <v>0.16000000000000003</v>
      </c>
    </row>
    <row r="127" spans="1:33">
      <c r="B127" s="29" t="s">
        <v>1</v>
      </c>
      <c r="C127" s="13">
        <f t="shared" ref="C127:H127" si="64">NPV(C126,$C$83:$V$83)+$B$21</f>
        <v>-27997.376258169679</v>
      </c>
      <c r="D127" s="13">
        <f t="shared" si="64"/>
        <v>-31646.28462943697</v>
      </c>
      <c r="E127" s="13">
        <f t="shared" si="64"/>
        <v>-34793.977469491496</v>
      </c>
      <c r="F127" s="13">
        <f t="shared" si="64"/>
        <v>-37517.834796390125</v>
      </c>
      <c r="G127" s="13">
        <f t="shared" si="64"/>
        <v>-39882.27043465343</v>
      </c>
      <c r="H127" s="13">
        <f t="shared" si="64"/>
        <v>-41941.048947059753</v>
      </c>
      <c r="I127" s="13">
        <f>NPV(I126,$C$83:$V$83)+$B$21</f>
        <v>-43739.165724781895</v>
      </c>
      <c r="J127" s="13">
        <f t="shared" ref="J127:O127" si="65">NPV(J126,$C$83:$V$83)+$B$21</f>
        <v>-45314.376526777007</v>
      </c>
      <c r="K127" s="13">
        <f t="shared" si="65"/>
        <v>-46698.444992071876</v>
      </c>
      <c r="L127" s="13">
        <f t="shared" si="65"/>
        <v>-47918.162679784858</v>
      </c>
      <c r="M127" s="13">
        <f t="shared" si="65"/>
        <v>-48996.185180777757</v>
      </c>
      <c r="N127" s="13">
        <f t="shared" si="65"/>
        <v>-49951.719143207993</v>
      </c>
      <c r="O127" s="13">
        <f t="shared" si="65"/>
        <v>-50801.088160288127</v>
      </c>
    </row>
    <row r="128" spans="1:33">
      <c r="B128" s="27"/>
      <c r="C128" s="27"/>
      <c r="D128" s="13"/>
    </row>
    <row r="129" spans="1:32">
      <c r="A129" s="24" t="s">
        <v>23</v>
      </c>
      <c r="B129" s="25"/>
      <c r="C129" s="25"/>
      <c r="D129" s="25"/>
    </row>
    <row r="130" spans="1:32" outlineLevel="1">
      <c r="B130" s="30" t="s">
        <v>2</v>
      </c>
      <c r="C130" s="27">
        <v>-0.6</v>
      </c>
      <c r="D130" s="27">
        <v>-0.5</v>
      </c>
      <c r="E130" s="27">
        <v>-0.4</v>
      </c>
      <c r="F130" s="27">
        <v>-0.3</v>
      </c>
      <c r="G130" s="27">
        <v>-0.2</v>
      </c>
      <c r="H130" s="27">
        <v>-0.1</v>
      </c>
      <c r="I130" s="27">
        <v>0</v>
      </c>
      <c r="J130" s="27">
        <v>0.1</v>
      </c>
      <c r="K130" s="27">
        <v>0.2</v>
      </c>
      <c r="L130" s="27">
        <v>0.3</v>
      </c>
      <c r="M130" s="27">
        <v>0.4</v>
      </c>
      <c r="N130" s="27">
        <v>0.5</v>
      </c>
      <c r="O130" s="27">
        <v>0.6</v>
      </c>
    </row>
    <row r="131" spans="1:32" outlineLevel="1">
      <c r="B131" s="30" t="s">
        <v>4</v>
      </c>
      <c r="C131" s="3">
        <f t="shared" ref="C131:H131" si="66">$I131*(1+C130)</f>
        <v>0</v>
      </c>
      <c r="D131" s="3">
        <f t="shared" si="66"/>
        <v>0</v>
      </c>
      <c r="E131" s="3">
        <f t="shared" si="66"/>
        <v>0</v>
      </c>
      <c r="F131" s="3">
        <f t="shared" si="66"/>
        <v>0</v>
      </c>
      <c r="G131" s="3">
        <f t="shared" si="66"/>
        <v>0</v>
      </c>
      <c r="H131" s="3">
        <f t="shared" si="66"/>
        <v>0</v>
      </c>
      <c r="I131" s="13">
        <f>$B$20</f>
        <v>0</v>
      </c>
      <c r="J131" s="3">
        <f t="shared" ref="J131:O131" si="67">$I131*(1+J130)</f>
        <v>0</v>
      </c>
      <c r="K131" s="3">
        <f t="shared" si="67"/>
        <v>0</v>
      </c>
      <c r="L131" s="3">
        <f t="shared" si="67"/>
        <v>0</v>
      </c>
      <c r="M131" s="3">
        <f t="shared" si="67"/>
        <v>0</v>
      </c>
      <c r="N131" s="3">
        <f t="shared" si="67"/>
        <v>0</v>
      </c>
      <c r="O131" s="3">
        <f t="shared" si="67"/>
        <v>0</v>
      </c>
    </row>
    <row r="132" spans="1:32" outlineLevel="1">
      <c r="B132" s="25" t="s">
        <v>1</v>
      </c>
      <c r="C132" s="13">
        <f t="shared" ref="C132:J132" si="68">NPV($B$6,$C$83:$V$83)+$B$21+(C131-$I131)</f>
        <v>-43739.165724781895</v>
      </c>
      <c r="D132" s="13">
        <f t="shared" si="68"/>
        <v>-43739.165724781895</v>
      </c>
      <c r="E132" s="13">
        <f t="shared" si="68"/>
        <v>-43739.165724781895</v>
      </c>
      <c r="F132" s="13">
        <f t="shared" si="68"/>
        <v>-43739.165724781895</v>
      </c>
      <c r="G132" s="13">
        <f t="shared" si="68"/>
        <v>-43739.165724781895</v>
      </c>
      <c r="H132" s="13">
        <f t="shared" si="68"/>
        <v>-43739.165724781895</v>
      </c>
      <c r="I132" s="13">
        <f t="shared" si="68"/>
        <v>-43739.165724781895</v>
      </c>
      <c r="J132" s="13">
        <f t="shared" si="68"/>
        <v>-43739.165724781895</v>
      </c>
      <c r="K132" s="13">
        <f>NPV($B$6,$C$83:$V$83)+$B$21+(K131-$I131)</f>
        <v>-43739.165724781895</v>
      </c>
      <c r="L132" s="13">
        <f>NPV($B$6,$C$83:$V$83)+$B$21+(L131-$I131)</f>
        <v>-43739.165724781895</v>
      </c>
      <c r="M132" s="13">
        <f>NPV($B$6,$C$83:$V$83)+$B$21+(M131-$I131)</f>
        <v>-43739.165724781895</v>
      </c>
      <c r="N132" s="13">
        <f>NPV($B$6,$C$83:$V$83)+$B$21+(N131-$I131)</f>
        <v>-43739.165724781895</v>
      </c>
      <c r="O132" s="13">
        <f>NPV($B$6,$C$83:$V$83)+$B$21+(O131-$I131)</f>
        <v>-43739.165724781895</v>
      </c>
    </row>
    <row r="133" spans="1:32">
      <c r="B133" s="27"/>
      <c r="D133" s="13"/>
    </row>
    <row r="134" spans="1:32">
      <c r="A134" s="18" t="s">
        <v>24</v>
      </c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3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spans="1:32" outlineLevel="1">
      <c r="A135" s="19"/>
      <c r="B135" s="34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21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spans="1:32" outlineLevel="1">
      <c r="A136" s="35" t="s">
        <v>20</v>
      </c>
      <c r="B136" s="34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21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spans="1:32" outlineLevel="1">
      <c r="A137" s="19" t="s">
        <v>25</v>
      </c>
      <c r="B137" s="34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21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spans="1:32">
      <c r="A138" s="37">
        <v>-0.3</v>
      </c>
      <c r="B138" s="39"/>
      <c r="C138" s="6">
        <f>IF($B$9&lt;C$41,"",'Calc A'!C$69-(('Calc A'!C$60*(-'Calc Sensitivity'!$A138))*(1-'Main Input-Output'!$B$45))-'Calc A'!C$82)</f>
        <v>-396.89386666666633</v>
      </c>
      <c r="D138" s="6">
        <f>IF($B$9&lt;D$41,"",'Calc A'!D$69-(('Calc A'!D$60*(-'Calc Sensitivity'!$A138))*(1-'Main Input-Output'!$B$45))-'Calc A'!D$82)</f>
        <v>-337.04853996800011</v>
      </c>
      <c r="E138" s="6">
        <f>IF($B$9&lt;E$41,"",'Calc A'!E69-(('Calc A'!E60*(-'Calc Sensitivity'!$A138))*(1-'Main Input-Output'!$B$45))-'Calc A'!E82)</f>
        <v>-267.24595217470551</v>
      </c>
      <c r="F138" s="6">
        <f>IF($B$9&lt;F$41,"",'Calc A'!F69-(('Calc A'!F60*(-'Calc Sensitivity'!$A138))*(1-'Main Input-Output'!$B$45))-'Calc A'!F82)</f>
        <v>-156.26169952194869</v>
      </c>
      <c r="G138" s="6">
        <f>IF($B$9&lt;G$41,"",'Calc A'!G69-(('Calc A'!G60*(-'Calc Sensitivity'!$A138))*(1-'Main Input-Output'!$B$45))-'Calc A'!G82)</f>
        <v>25.889203829378857</v>
      </c>
      <c r="H138" s="6">
        <f>IF($B$9&lt;H$41,"",'Calc A'!H69-(('Calc A'!H60*(-'Calc Sensitivity'!$A138))*(1-'Main Input-Output'!$B$45))-'Calc A'!H82)</f>
        <v>216.67524524842065</v>
      </c>
      <c r="I138" s="6">
        <f>IF($B$9&lt;I$41,"",'Calc A'!I69-(('Calc A'!I60*(-'Calc Sensitivity'!$A138))*(1-'Main Input-Output'!$B$45))-'Calc A'!I82)</f>
        <v>416.55785989383662</v>
      </c>
      <c r="J138" s="6">
        <f>IF($B$9&lt;J$41,"",'Calc A'!J69-(('Calc A'!J60*(-'Calc Sensitivity'!$A138))*(1-'Main Input-Output'!$B$45))-'Calc A'!J82)</f>
        <v>626.02496331750854</v>
      </c>
      <c r="K138" s="6">
        <f>IF($B$9&lt;K$41,"",'Calc A'!K69-(('Calc A'!K60*(-'Calc Sensitivity'!$A138))*(1-'Main Input-Output'!$B$45))-'Calc A'!K82)</f>
        <v>845.59252745375397</v>
      </c>
      <c r="L138" s="6">
        <f>IF($B$9&lt;L$41,"",'Calc A'!L69-(('Calc A'!L60*(-'Calc Sensitivity'!$A138))*(1-'Main Input-Output'!$B$45))-'Calc A'!L82)</f>
        <v>1049.4127998282008</v>
      </c>
      <c r="M138" s="6">
        <f>IF($B$9&lt;M$41,"",'Calc A'!M69-(('Calc A'!M60*(-'Calc Sensitivity'!$A138))*(1-'Main Input-Output'!$B$45))-'Calc A'!M82)</f>
        <v>1231.4063936254915</v>
      </c>
      <c r="N138" s="6">
        <f>IF($B$9&lt;N$41,"",'Calc A'!N69-(('Calc A'!N60*(-'Calc Sensitivity'!$A138))*(1-'Main Input-Output'!$B$45))-'Calc A'!N82)</f>
        <v>1422.5045577301767</v>
      </c>
      <c r="O138" s="6">
        <f>IF($B$9&lt;O$41,"",'Calc A'!O69-(('Calc A'!O60*(-'Calc Sensitivity'!$A138))*(1-'Main Input-Output'!$B$45))-'Calc A'!O82)</f>
        <v>1623.2107724666162</v>
      </c>
      <c r="P138" s="6">
        <f>IF($B$9&lt;P$41,"",'Calc A'!P69-(('Calc A'!P60*(-'Calc Sensitivity'!$A138))*(1-'Main Input-Output'!$B$45))-'Calc A'!P82)</f>
        <v>1834.0579440993092</v>
      </c>
      <c r="Q138" s="6">
        <f>IF($B$9&lt;Q$41,"",'Calc A'!Q69-(('Calc A'!Q60*(-'Calc Sensitivity'!$A138))*(1-'Main Input-Output'!$B$45))-'Calc A'!Q82)</f>
        <v>2055.6101716517287</v>
      </c>
      <c r="R138" s="6">
        <f>IF($B$9&lt;R$41,"",'Calc A'!R69-(('Calc A'!R60*(-'Calc Sensitivity'!$A138))*(1-'Main Input-Output'!$B$45))-'Calc A'!R82)</f>
        <v>2288.4646211234472</v>
      </c>
      <c r="S138" s="6">
        <f>IF($B$9&lt;S$41,"",'Calc A'!S69-(('Calc A'!S60*(-'Calc Sensitivity'!$A138))*(1-'Main Input-Output'!$B$45))-'Calc A'!S82)</f>
        <v>2533.2535136693891</v>
      </c>
      <c r="T138" s="6">
        <f>IF($B$9&lt;T$41,"",'Calc A'!T69-(('Calc A'!T60*(-'Calc Sensitivity'!$A138))*(1-'Main Input-Output'!$B$45))-'Calc A'!T82)</f>
        <v>2790.646234707126</v>
      </c>
      <c r="U138" s="6">
        <f>IF($B$9&lt;U$41,"",'Calc A'!U69-(('Calc A'!U60*(-'Calc Sensitivity'!$A138))*(1-'Main Input-Output'!$B$45))-'Calc A'!U82)</f>
        <v>3061.3515713448478</v>
      </c>
      <c r="V138" s="6">
        <f>IF($B$9&lt;V$41,"",'Calc A'!V69-(('Calc A'!V60*(-'Calc Sensitivity'!$A138))*(1-'Main Input-Output'!$B$45))-'Calc A'!V82)</f>
        <v>3335.7404827114733</v>
      </c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outlineLevel="1">
      <c r="A139" s="19"/>
      <c r="B139" s="7"/>
      <c r="C139" s="7" t="s">
        <v>5</v>
      </c>
      <c r="D139" s="7"/>
      <c r="E139" s="7"/>
      <c r="F139" s="7"/>
      <c r="G139" s="7"/>
      <c r="H139" s="39"/>
      <c r="I139" s="39"/>
      <c r="J139" s="39"/>
      <c r="K139" s="39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21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spans="1:32" outlineLevel="1">
      <c r="A140" s="19"/>
      <c r="B140" s="7">
        <f>'Calc A'!$B$21*-1</f>
        <v>61000</v>
      </c>
      <c r="C140" s="40">
        <f>C138</f>
        <v>-396.89386666666633</v>
      </c>
      <c r="D140" s="40">
        <f t="shared" ref="D140:V140" si="69">D138</f>
        <v>-337.04853996800011</v>
      </c>
      <c r="E140" s="40">
        <f t="shared" si="69"/>
        <v>-267.24595217470551</v>
      </c>
      <c r="F140" s="40">
        <f t="shared" si="69"/>
        <v>-156.26169952194869</v>
      </c>
      <c r="G140" s="40">
        <f t="shared" si="69"/>
        <v>25.889203829378857</v>
      </c>
      <c r="H140" s="40">
        <f t="shared" si="69"/>
        <v>216.67524524842065</v>
      </c>
      <c r="I140" s="40">
        <f t="shared" si="69"/>
        <v>416.55785989383662</v>
      </c>
      <c r="J140" s="40">
        <f t="shared" si="69"/>
        <v>626.02496331750854</v>
      </c>
      <c r="K140" s="40">
        <f t="shared" si="69"/>
        <v>845.59252745375397</v>
      </c>
      <c r="L140" s="40">
        <f t="shared" si="69"/>
        <v>1049.4127998282008</v>
      </c>
      <c r="M140" s="40">
        <f t="shared" si="69"/>
        <v>1231.4063936254915</v>
      </c>
      <c r="N140" s="40">
        <f t="shared" si="69"/>
        <v>1422.5045577301767</v>
      </c>
      <c r="O140" s="40">
        <f t="shared" si="69"/>
        <v>1623.2107724666162</v>
      </c>
      <c r="P140" s="40">
        <f t="shared" si="69"/>
        <v>1834.0579440993092</v>
      </c>
      <c r="Q140" s="40">
        <f t="shared" si="69"/>
        <v>2055.6101716517287</v>
      </c>
      <c r="R140" s="40">
        <f t="shared" si="69"/>
        <v>2288.4646211234472</v>
      </c>
      <c r="S140" s="40">
        <f t="shared" si="69"/>
        <v>2533.2535136693891</v>
      </c>
      <c r="T140" s="40">
        <f t="shared" si="69"/>
        <v>2790.646234707126</v>
      </c>
      <c r="U140" s="40">
        <f t="shared" si="69"/>
        <v>3061.3515713448478</v>
      </c>
      <c r="V140" s="40">
        <f t="shared" si="69"/>
        <v>3335.7404827114733</v>
      </c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</row>
    <row r="141" spans="1:32" outlineLevel="1">
      <c r="A141" s="19"/>
      <c r="B141" s="7" t="s">
        <v>27</v>
      </c>
      <c r="C141" s="40">
        <f>C138</f>
        <v>-396.89386666666633</v>
      </c>
      <c r="D141" s="40">
        <f t="shared" ref="D141:U141" si="70">C141+D138</f>
        <v>-733.94240663466644</v>
      </c>
      <c r="E141" s="40">
        <f t="shared" si="70"/>
        <v>-1001.1883588093719</v>
      </c>
      <c r="F141" s="40">
        <f t="shared" si="70"/>
        <v>-1157.4500583313206</v>
      </c>
      <c r="G141" s="40">
        <f t="shared" si="70"/>
        <v>-1131.5608545019418</v>
      </c>
      <c r="H141" s="40">
        <f t="shared" si="70"/>
        <v>-914.88560925352112</v>
      </c>
      <c r="I141" s="40">
        <f t="shared" si="70"/>
        <v>-498.3277493596845</v>
      </c>
      <c r="J141" s="40">
        <f t="shared" si="70"/>
        <v>127.69721395782403</v>
      </c>
      <c r="K141" s="40">
        <f t="shared" si="70"/>
        <v>973.28974141157801</v>
      </c>
      <c r="L141" s="40">
        <f t="shared" si="70"/>
        <v>2022.7025412397788</v>
      </c>
      <c r="M141" s="40">
        <f t="shared" si="70"/>
        <v>3254.1089348652704</v>
      </c>
      <c r="N141" s="40">
        <f t="shared" si="70"/>
        <v>4676.6134925954466</v>
      </c>
      <c r="O141" s="40">
        <f t="shared" si="70"/>
        <v>6299.8242650620632</v>
      </c>
      <c r="P141" s="40">
        <f t="shared" si="70"/>
        <v>8133.8822091613729</v>
      </c>
      <c r="Q141" s="40">
        <f t="shared" si="70"/>
        <v>10189.492380813102</v>
      </c>
      <c r="R141" s="40">
        <f t="shared" si="70"/>
        <v>12477.957001936549</v>
      </c>
      <c r="S141" s="40">
        <f t="shared" si="70"/>
        <v>15011.210515605939</v>
      </c>
      <c r="T141" s="40">
        <f t="shared" si="70"/>
        <v>17801.856750313065</v>
      </c>
      <c r="U141" s="40">
        <f t="shared" si="70"/>
        <v>20863.208321657912</v>
      </c>
      <c r="V141" s="41">
        <f>U141+V140</f>
        <v>24198.948804369385</v>
      </c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</row>
    <row r="142" spans="1:32">
      <c r="A142" s="19"/>
      <c r="B142" s="42">
        <v>-0.3</v>
      </c>
      <c r="C142" s="43" t="e">
        <f ca="1">MATCH(B140,C141:V141)&amp;" Años "&amp;ROUND(((B140-SUM(OFFSET(B140,0,1,1,MATCH(B140,C141:V141))))/OFFSET(B140,0,MATCH(B140,C141:V141)+1))*12,0)&amp;" Meses"</f>
        <v>#DIV/0!</v>
      </c>
      <c r="D142" s="44" t="e">
        <f ca="1">(MATCH(B140,C141:V141))+(ROUND(((B140-SUM(OFFSET(B140,0,1,1,MATCH(B140,C141:V141))))/OFFSET(B140,0,MATCH(B140,C141:V141)+1))*12,0)/10)*10/12</f>
        <v>#DIV/0!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21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spans="1:32">
      <c r="A143" s="19"/>
      <c r="B143" s="34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21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spans="1:32">
      <c r="A144" s="19"/>
      <c r="B144" s="7"/>
      <c r="C144" s="7"/>
      <c r="D144" s="7"/>
      <c r="E144" s="7"/>
      <c r="F144" s="36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21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spans="1:32">
      <c r="A145" s="37">
        <v>-0.2</v>
      </c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38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outlineLevel="1">
      <c r="A146" s="19"/>
      <c r="B146" s="7"/>
      <c r="C146" s="7" t="s">
        <v>28</v>
      </c>
      <c r="D146" s="7"/>
      <c r="E146" s="7"/>
      <c r="F146" s="7"/>
      <c r="G146" s="7"/>
      <c r="H146" s="39"/>
      <c r="I146" s="39"/>
      <c r="J146" s="39"/>
      <c r="K146" s="39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21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spans="1:32" outlineLevel="1">
      <c r="A147" s="19"/>
      <c r="B147" s="7">
        <f>B140</f>
        <v>61000</v>
      </c>
      <c r="C147" s="6">
        <f>IF($B$9&lt;C$41,"",'Calc A'!C$69-(('Calc A'!C$60*(-'Calc Sensitivity'!$A145))*(1-'Main Input-Output'!$B$45))-'Calc A'!C$82)</f>
        <v>-9.3514666666665107</v>
      </c>
      <c r="D147" s="6">
        <f>IF($B$9&lt;D$41,"",'Calc A'!D$69-(('Calc A'!D$60*(-'Calc Sensitivity'!$A145))*(1-'Main Input-Output'!$B$45))-'Calc A'!D$82)</f>
        <v>61.3217946879995</v>
      </c>
      <c r="E147" s="6">
        <f>IF($B$9&lt;E$41,"",'Calc A'!E$69-(('Calc A'!E$60*(-'Calc Sensitivity'!$A145))*(1-'Main Input-Output'!$B$45))-'Calc A'!E$82)</f>
        <v>142.25484963158306</v>
      </c>
      <c r="F147" s="6">
        <f>IF($B$9&lt;F$41,"",'Calc A'!F$69-(('Calc A'!F$60*(-'Calc Sensitivity'!$A145))*(1-'Main Input-Output'!$B$45))-'Calc A'!F$82)</f>
        <v>264.68055468680814</v>
      </c>
      <c r="G147" s="6">
        <f>IF($B$9&lt;G$41,"",'Calc A'!G$69-(('Calc A'!G$60*(-'Calc Sensitivity'!$A145))*(1-'Main Input-Output'!$B$45))-'Calc A'!G$82)</f>
        <v>458.59258462072785</v>
      </c>
      <c r="H147" s="6">
        <f>IF($B$9&lt;H$41,"",'Calc A'!H$69-(('Calc A'!H$60*(-'Calc Sensitivity'!$A145))*(1-'Main Input-Output'!$B$45))-'Calc A'!H$82)</f>
        <v>661.46835849907961</v>
      </c>
      <c r="I147" s="6">
        <f>IF($B$9&lt;I$41,"",'Calc A'!I$69-(('Calc A'!I$60*(-'Calc Sensitivity'!$A145))*(1-'Main Input-Output'!$B$45))-'Calc A'!I$82)</f>
        <v>873.77849272871936</v>
      </c>
      <c r="J147" s="6">
        <f>IF($B$9&lt;J$41,"",'Calc A'!J$69-(('Calc A'!J$60*(-'Calc Sensitivity'!$A145))*(1-'Main Input-Output'!$B$45))-'Calc A'!J$82)</f>
        <v>1096.0203406337978</v>
      </c>
      <c r="K147" s="6">
        <f>IF($B$9&lt;K$41,"",'Calc A'!K$69-(('Calc A'!K$60*(-'Calc Sensitivity'!$A145))*(1-'Main Input-Output'!$B$45))-'Calc A'!K$82)</f>
        <v>1328.7195756122601</v>
      </c>
      <c r="L147" s="6">
        <f>IF($B$9&lt;L$41,"",'Calc A'!L$69-(('Calc A'!L$60*(-'Calc Sensitivity'!$A145))*(1-'Main Input-Output'!$B$45))-'Calc A'!L$82)</f>
        <v>1546.0384177122558</v>
      </c>
      <c r="M147" s="6">
        <f>IF($B$9&lt;M$41,"",'Calc A'!M$69-(('Calc A'!M$60*(-'Calc Sensitivity'!$A145))*(1-'Main Input-Output'!$B$45))-'Calc A'!M$82)</f>
        <v>1741.907731273227</v>
      </c>
      <c r="N147" s="6">
        <f>IF($B$9&lt;N$41,"",'Calc A'!N$69-(('Calc A'!N$60*(-'Calc Sensitivity'!$A145))*(1-'Main Input-Output'!$B$45))-'Calc A'!N$82)</f>
        <v>1947.2693027517898</v>
      </c>
      <c r="O147" s="6">
        <f>IF($B$9&lt;O$41,"",'Calc A'!O$69-(('Calc A'!O$60*(-'Calc Sensitivity'!$A145))*(1-'Main Input-Output'!$B$45))-'Calc A'!O$82)</f>
        <v>2162.6374444641328</v>
      </c>
      <c r="P147" s="6">
        <f>IF($B$9&lt;P$41,"",'Calc A'!P$69-(('Calc A'!P$60*(-'Calc Sensitivity'!$A145))*(1-'Main Input-Output'!$B$45))-'Calc A'!P$82)</f>
        <v>2388.5561973124368</v>
      </c>
      <c r="Q147" s="6">
        <f>IF($B$9&lt;Q$41,"",'Calc A'!Q$69-(('Calc A'!Q$60*(-'Calc Sensitivity'!$A145))*(1-'Main Input-Output'!$B$45))-'Calc A'!Q$82)</f>
        <v>2625.6011060596311</v>
      </c>
      <c r="R147" s="6">
        <f>IF($B$9&lt;R$41,"",'Calc A'!R$69-(('Calc A'!R$60*(-'Calc Sensitivity'!$A145))*(1-'Main Input-Output'!$B$45))-'Calc A'!R$82)</f>
        <v>2874.3811022387063</v>
      </c>
      <c r="S147" s="6">
        <f>IF($B$9&lt;S$41,"",'Calc A'!S$69-(('Calc A'!S$60*(-'Calc Sensitivity'!$A145))*(1-'Main Input-Output'!$B$45))-'Calc A'!S$82)</f>
        <v>3135.5405012670089</v>
      </c>
      <c r="T147" s="6">
        <f>IF($B$9&lt;T$41,"",'Calc A'!T$69-(('Calc A'!T$60*(-'Calc Sensitivity'!$A145))*(1-'Main Input-Output'!$B$45))-'Calc A'!T$82)</f>
        <v>3409.7611207382229</v>
      </c>
      <c r="U147" s="6">
        <f>IF($B$9&lt;U$41,"",'Calc A'!U$69-(('Calc A'!U$60*(-'Calc Sensitivity'!$A145))*(1-'Main Input-Output'!$B$45))-'Calc A'!U$82)</f>
        <v>3697.7645272916534</v>
      </c>
      <c r="V147" s="6">
        <f>IF($B$9&lt;V$41,"",'Calc A'!V$69-(('Calc A'!V$60*(-'Calc Sensitivity'!$A145))*(1-'Main Input-Output'!$B$45))-'Calc A'!V$82)</f>
        <v>3989.9348166474333</v>
      </c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outlineLevel="1">
      <c r="A148" s="19"/>
      <c r="B148" s="7" t="s">
        <v>27</v>
      </c>
      <c r="C148" s="40">
        <f>C147</f>
        <v>-9.3514666666665107</v>
      </c>
      <c r="D148" s="40">
        <f t="shared" ref="D148:V148" si="71">C148+D147</f>
        <v>51.970328021332989</v>
      </c>
      <c r="E148" s="40">
        <f t="shared" si="71"/>
        <v>194.22517765291605</v>
      </c>
      <c r="F148" s="40">
        <f t="shared" si="71"/>
        <v>458.90573233972418</v>
      </c>
      <c r="G148" s="40">
        <f t="shared" si="71"/>
        <v>917.49831696045203</v>
      </c>
      <c r="H148" s="40">
        <f t="shared" si="71"/>
        <v>1578.9666754595316</v>
      </c>
      <c r="I148" s="40">
        <f t="shared" si="71"/>
        <v>2452.7451681882512</v>
      </c>
      <c r="J148" s="40">
        <f t="shared" si="71"/>
        <v>3548.765508822049</v>
      </c>
      <c r="K148" s="40">
        <f t="shared" si="71"/>
        <v>4877.4850844343091</v>
      </c>
      <c r="L148" s="40">
        <f t="shared" si="71"/>
        <v>6423.5235021465651</v>
      </c>
      <c r="M148" s="40">
        <f t="shared" si="71"/>
        <v>8165.4312334197921</v>
      </c>
      <c r="N148" s="40">
        <f t="shared" si="71"/>
        <v>10112.700536171582</v>
      </c>
      <c r="O148" s="40">
        <f t="shared" si="71"/>
        <v>12275.337980635715</v>
      </c>
      <c r="P148" s="40">
        <f t="shared" si="71"/>
        <v>14663.894177948152</v>
      </c>
      <c r="Q148" s="40">
        <f t="shared" si="71"/>
        <v>17289.495284007782</v>
      </c>
      <c r="R148" s="40">
        <f t="shared" si="71"/>
        <v>20163.876386246488</v>
      </c>
      <c r="S148" s="40">
        <f t="shared" si="71"/>
        <v>23299.416887513496</v>
      </c>
      <c r="T148" s="40">
        <f t="shared" si="71"/>
        <v>26709.178008251718</v>
      </c>
      <c r="U148" s="40">
        <f t="shared" si="71"/>
        <v>30406.94253554337</v>
      </c>
      <c r="V148" s="41">
        <f t="shared" si="71"/>
        <v>34396.877352190801</v>
      </c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</row>
    <row r="149" spans="1:32" outlineLevel="1">
      <c r="A149" s="19"/>
      <c r="B149" s="42">
        <v>-0.2</v>
      </c>
      <c r="C149" s="43" t="e">
        <f ca="1">MATCH(B147,C148:V148)&amp;" Años "&amp;ROUND(((B147-SUM(OFFSET(B147,0,1,1,MATCH(B147,C148:V148))))/OFFSET(B147,0,MATCH(B147,C148:V148)+1))*12,0)&amp;" Meses"</f>
        <v>#DIV/0!</v>
      </c>
      <c r="D149" s="44" t="e">
        <f ca="1">(MATCH(B147,C148:V148))+(ROUND(((B147-SUM(OFFSET(B147,0,1,1,MATCH(B147,C148:V148))))/OFFSET(B147,0,MATCH(B147,C148:V148)+1))*12,0)/10)*10/12</f>
        <v>#DIV/0!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21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spans="1:32" outlineLevel="1">
      <c r="A150" s="19"/>
      <c r="B150" s="7"/>
      <c r="C150" s="7"/>
      <c r="D150" s="7"/>
      <c r="E150" s="7"/>
      <c r="F150" s="36"/>
      <c r="G150" s="34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21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spans="1:32" outlineLevel="1">
      <c r="A151" s="19"/>
      <c r="B151" s="7"/>
      <c r="C151" s="7"/>
      <c r="D151" s="7"/>
      <c r="E151" s="7"/>
      <c r="F151" s="36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21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spans="1:32" outlineLevel="1">
      <c r="A152" s="37">
        <v>-0.1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38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outlineLevel="1">
      <c r="A153" s="19"/>
      <c r="B153" s="7"/>
      <c r="C153" s="7" t="s">
        <v>28</v>
      </c>
      <c r="D153" s="7"/>
      <c r="E153" s="7"/>
      <c r="F153" s="7"/>
      <c r="G153" s="7"/>
      <c r="H153" s="39"/>
      <c r="I153" s="39"/>
      <c r="J153" s="39"/>
      <c r="K153" s="39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21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spans="1:32" outlineLevel="1">
      <c r="A154" s="213"/>
      <c r="B154" s="45">
        <f>B140</f>
        <v>61000</v>
      </c>
      <c r="C154" s="6">
        <f>IF($B$9&lt;C$41,"",'Calc A'!C$69-(('Calc A'!C$60*(-'Calc Sensitivity'!$A152))*(1-'Main Input-Output'!$B$45))-'Calc A'!C$82)</f>
        <v>378.19093333333331</v>
      </c>
      <c r="D154" s="6">
        <f>IF($B$9&lt;D$41,"",'Calc A'!D$69-(('Calc A'!D$60*(-'Calc Sensitivity'!$A152))*(1-'Main Input-Output'!$B$45))-'Calc A'!D$82)</f>
        <v>459.69212934399957</v>
      </c>
      <c r="E154" s="6">
        <f>IF($B$9&lt;E$41,"",'Calc A'!E$69-(('Calc A'!E$60*(-'Calc Sensitivity'!$A152))*(1-'Main Input-Output'!$B$45))-'Calc A'!E$82)</f>
        <v>551.75565143787185</v>
      </c>
      <c r="F154" s="6">
        <f>IF($B$9&lt;F$41,"",'Calc A'!F$69-(('Calc A'!F$60*(-'Calc Sensitivity'!$A152))*(1-'Main Input-Output'!$B$45))-'Calc A'!F$82)</f>
        <v>685.6228088955645</v>
      </c>
      <c r="G154" s="6">
        <f>IF($B$9&lt;G$41,"",'Calc A'!G$69-(('Calc A'!G$60*(-'Calc Sensitivity'!$A152))*(1-'Main Input-Output'!$B$45))-'Calc A'!G$82)</f>
        <v>891.29596541207684</v>
      </c>
      <c r="H154" s="6">
        <f>IF($B$9&lt;H$41,"",'Calc A'!H$69-(('Calc A'!H$60*(-'Calc Sensitivity'!$A152))*(1-'Main Input-Output'!$B$45))-'Calc A'!H$82)</f>
        <v>1106.261471749739</v>
      </c>
      <c r="I154" s="6">
        <f>IF($B$9&lt;I$41,"",'Calc A'!I$69-(('Calc A'!I$60*(-'Calc Sensitivity'!$A152))*(1-'Main Input-Output'!$B$45))-'Calc A'!I$82)</f>
        <v>1330.9991255636021</v>
      </c>
      <c r="J154" s="6">
        <f>IF($B$9&lt;J$41,"",'Calc A'!J$69-(('Calc A'!J$60*(-'Calc Sensitivity'!$A152))*(1-'Main Input-Output'!$B$45))-'Calc A'!J$82)</f>
        <v>1566.0157179500873</v>
      </c>
      <c r="K154" s="6">
        <f>IF($B$9&lt;K$41,"",'Calc A'!K$69-(('Calc A'!K$60*(-'Calc Sensitivity'!$A152))*(1-'Main Input-Output'!$B$45))-'Calc A'!K$82)</f>
        <v>1811.8466237707667</v>
      </c>
      <c r="L154" s="6">
        <f>IF($B$9&lt;L$41,"",'Calc A'!L$69-(('Calc A'!L$60*(-'Calc Sensitivity'!$A152))*(1-'Main Input-Output'!$B$45))-'Calc A'!L$82)</f>
        <v>2042.6640355963109</v>
      </c>
      <c r="M154" s="6">
        <f>IF($B$9&lt;M$41,"",'Calc A'!M$69-(('Calc A'!M$60*(-'Calc Sensitivity'!$A152))*(1-'Main Input-Output'!$B$45))-'Calc A'!M$82)</f>
        <v>2252.4090689209629</v>
      </c>
      <c r="N154" s="6">
        <f>IF($B$9&lt;N$41,"",'Calc A'!N$69-(('Calc A'!N$60*(-'Calc Sensitivity'!$A152))*(1-'Main Input-Output'!$B$45))-'Calc A'!N$82)</f>
        <v>2472.0340477734035</v>
      </c>
      <c r="O154" s="6">
        <f>IF($B$9&lt;O$41,"",'Calc A'!O$69-(('Calc A'!O$60*(-'Calc Sensitivity'!$A152))*(1-'Main Input-Output'!$B$45))-'Calc A'!O$82)</f>
        <v>2702.06411646165</v>
      </c>
      <c r="P154" s="6">
        <f>IF($B$9&lt;P$41,"",'Calc A'!P$69-(('Calc A'!P$60*(-'Calc Sensitivity'!$A152))*(1-'Main Input-Output'!$B$45))-'Calc A'!P$82)</f>
        <v>2943.0544505255648</v>
      </c>
      <c r="Q154" s="6">
        <f>IF($B$9&lt;Q$41,"",'Calc A'!Q$69-(('Calc A'!Q$60*(-'Calc Sensitivity'!$A152))*(1-'Main Input-Output'!$B$45))-'Calc A'!Q$82)</f>
        <v>3195.5920404675335</v>
      </c>
      <c r="R154" s="6">
        <f>IF($B$9&lt;R$41,"",'Calc A'!R$69-(('Calc A'!R$60*(-'Calc Sensitivity'!$A152))*(1-'Main Input-Output'!$B$45))-'Calc A'!R$82)</f>
        <v>3460.2975833539658</v>
      </c>
      <c r="S154" s="6">
        <f>IF($B$9&lt;S$41,"",'Calc A'!S$69-(('Calc A'!S$60*(-'Calc Sensitivity'!$A152))*(1-'Main Input-Output'!$B$45))-'Calc A'!S$82)</f>
        <v>3737.8274888646283</v>
      </c>
      <c r="T154" s="6">
        <f>IF($B$9&lt;T$41,"",'Calc A'!T$69-(('Calc A'!T$60*(-'Calc Sensitivity'!$A152))*(1-'Main Input-Output'!$B$45))-'Calc A'!T$82)</f>
        <v>4028.8760067693202</v>
      </c>
      <c r="U154" s="6">
        <f>IF($B$9&lt;U$41,"",'Calc A'!U$69-(('Calc A'!U$60*(-'Calc Sensitivity'!$A152))*(1-'Main Input-Output'!$B$45))-'Calc A'!U$82)</f>
        <v>4334.1774832384599</v>
      </c>
      <c r="V154" s="6">
        <f>IF($B$9&lt;V$41,"",'Calc A'!V$69-(('Calc A'!V$60*(-'Calc Sensitivity'!$A152))*(1-'Main Input-Output'!$B$45))-'Calc A'!V$82)</f>
        <v>4644.1291505833933</v>
      </c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outlineLevel="1">
      <c r="A155" s="19"/>
      <c r="B155" s="7" t="s">
        <v>27</v>
      </c>
      <c r="C155" s="40">
        <f>C154</f>
        <v>378.19093333333331</v>
      </c>
      <c r="D155" s="40">
        <f t="shared" ref="D155:V155" si="72">C155+D154</f>
        <v>837.88306267733287</v>
      </c>
      <c r="E155" s="40">
        <f t="shared" si="72"/>
        <v>1389.6387141152047</v>
      </c>
      <c r="F155" s="40">
        <f t="shared" si="72"/>
        <v>2075.2615230107695</v>
      </c>
      <c r="G155" s="40">
        <f t="shared" si="72"/>
        <v>2966.5574884228463</v>
      </c>
      <c r="H155" s="40">
        <f t="shared" si="72"/>
        <v>4072.8189601725853</v>
      </c>
      <c r="I155" s="40">
        <f t="shared" si="72"/>
        <v>5403.8180857361876</v>
      </c>
      <c r="J155" s="40">
        <f t="shared" si="72"/>
        <v>6969.8338036862751</v>
      </c>
      <c r="K155" s="40">
        <f t="shared" si="72"/>
        <v>8781.6804274570422</v>
      </c>
      <c r="L155" s="40">
        <f t="shared" si="72"/>
        <v>10824.344463053352</v>
      </c>
      <c r="M155" s="40">
        <f t="shared" si="72"/>
        <v>13076.753531974315</v>
      </c>
      <c r="N155" s="40">
        <f t="shared" si="72"/>
        <v>15548.787579747717</v>
      </c>
      <c r="O155" s="40">
        <f t="shared" si="72"/>
        <v>18250.851696209367</v>
      </c>
      <c r="P155" s="40">
        <f t="shared" si="72"/>
        <v>21193.906146734931</v>
      </c>
      <c r="Q155" s="40">
        <f t="shared" si="72"/>
        <v>24389.498187202465</v>
      </c>
      <c r="R155" s="40">
        <f t="shared" si="72"/>
        <v>27849.795770556433</v>
      </c>
      <c r="S155" s="40">
        <f t="shared" si="72"/>
        <v>31587.62325942106</v>
      </c>
      <c r="T155" s="40">
        <f t="shared" si="72"/>
        <v>35616.499266190382</v>
      </c>
      <c r="U155" s="40">
        <f t="shared" si="72"/>
        <v>39950.676749428843</v>
      </c>
      <c r="V155" s="41">
        <f t="shared" si="72"/>
        <v>44594.805900012238</v>
      </c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</row>
    <row r="156" spans="1:32" outlineLevel="1">
      <c r="A156" s="19"/>
      <c r="B156" s="42">
        <v>-0.1</v>
      </c>
      <c r="C156" s="43" t="e">
        <f ca="1">MATCH(B154,C155:V155)&amp;"Años "&amp;ROUND(((B154-SUM(OFFSET(B154,0,1,1,MATCH(B154,C155:V155))))/OFFSET(B154,0,MATCH(B154,C155:V155)+1))*12,0)&amp;"Meses"</f>
        <v>#DIV/0!</v>
      </c>
      <c r="D156" s="44" t="e">
        <f ca="1">(MATCH(B154,C155:V155))+(ROUND(((B154-SUM(OFFSET(B154,0,1,1,MATCH(B154,C155:V155))))/OFFSET(B154,0,MATCH(B154,C155:V155)+1))*12,0)/10)*10/12</f>
        <v>#DIV/0!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21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spans="1:32" outlineLevel="1">
      <c r="A157" s="19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21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spans="1:32" outlineLevel="1">
      <c r="A158" s="19"/>
      <c r="B158" s="215">
        <f>B154</f>
        <v>61000</v>
      </c>
      <c r="C158" s="6">
        <f>IF($B$9&lt;C$41,"",'Calc A'!C$69-(('Calc A'!C$60*(-'Calc Sensitivity'!$A160))*(1-'Main Input-Output'!$B$45))-'Calc A'!C$82)</f>
        <v>765.73333333333358</v>
      </c>
      <c r="D158" s="6">
        <f>IF($B$9&lt;D$41,"",'Calc A'!D$69-(('Calc A'!D$60*(-'Calc Sensitivity'!$A160))*(1-'Main Input-Output'!$B$45))-'Calc A'!D$82)</f>
        <v>858.06246399999964</v>
      </c>
      <c r="E158" s="6">
        <f>IF($B$9&lt;E$41,"",'Calc A'!E$69-(('Calc A'!E$60*(-'Calc Sensitivity'!$A160))*(1-'Main Input-Output'!$B$45))-'Calc A'!E$82)</f>
        <v>961.25645324416064</v>
      </c>
      <c r="F158" s="6">
        <f>IF($B$9&lt;F$41,"",'Calc A'!F$69-(('Calc A'!F$60*(-'Calc Sensitivity'!$A160))*(1-'Main Input-Output'!$B$45))-'Calc A'!F$82)</f>
        <v>1106.5650631043209</v>
      </c>
      <c r="G158" s="6">
        <f>IF($B$9&lt;G$41,"",'Calc A'!G$69-(('Calc A'!G$60*(-'Calc Sensitivity'!$A160))*(1-'Main Input-Output'!$B$45))-'Calc A'!G$82)</f>
        <v>1323.9993462034258</v>
      </c>
      <c r="H158" s="6">
        <f>IF($B$9&lt;H$41,"",'Calc A'!H$69-(('Calc A'!H$60*(-'Calc Sensitivity'!$A160))*(1-'Main Input-Output'!$B$45))-'Calc A'!H$82)</f>
        <v>1551.0545850003982</v>
      </c>
      <c r="I158" s="6">
        <f>IF($B$9&lt;I$41,"",'Calc A'!I$69-(('Calc A'!I$60*(-'Calc Sensitivity'!$A160))*(1-'Main Input-Output'!$B$45))-'Calc A'!I$82)</f>
        <v>1788.2197583984848</v>
      </c>
      <c r="J158" s="6">
        <f>IF($B$9&lt;J$41,"",'Calc A'!J$69-(('Calc A'!J$60*(-'Calc Sensitivity'!$A160))*(1-'Main Input-Output'!$B$45))-'Calc A'!J$82)</f>
        <v>2036.0110952663767</v>
      </c>
      <c r="K158" s="6">
        <f>IF($B$9&lt;K$41,"",'Calc A'!K$69-(('Calc A'!K$60*(-'Calc Sensitivity'!$A160))*(1-'Main Input-Output'!$B$45))-'Calc A'!K$82)</f>
        <v>2294.9736719292732</v>
      </c>
      <c r="L158" s="6">
        <f>IF($B$9&lt;L$41,"",'Calc A'!L$69-(('Calc A'!L$60*(-'Calc Sensitivity'!$A160))*(1-'Main Input-Output'!$B$45))-'Calc A'!L$82)</f>
        <v>2539.2896534803663</v>
      </c>
      <c r="M158" s="6">
        <f>IF($B$9&lt;M$41,"",'Calc A'!M$69-(('Calc A'!M$60*(-'Calc Sensitivity'!$A160))*(1-'Main Input-Output'!$B$45))-'Calc A'!M$82)</f>
        <v>2762.9104065686984</v>
      </c>
      <c r="N158" s="6">
        <f>IF($B$9&lt;N$41,"",'Calc A'!N$69-(('Calc A'!N$60*(-'Calc Sensitivity'!$A160))*(1-'Main Input-Output'!$B$45))-'Calc A'!N$82)</f>
        <v>2996.7987927950167</v>
      </c>
      <c r="O158" s="6">
        <f>IF($B$9&lt;O$41,"",'Calc A'!O$69-(('Calc A'!O$60*(-'Calc Sensitivity'!$A160))*(1-'Main Input-Output'!$B$45))-'Calc A'!O$82)</f>
        <v>3241.4907884591671</v>
      </c>
      <c r="P158" s="6">
        <f>IF($B$9&lt;P$41,"",'Calc A'!P$69-(('Calc A'!P$60*(-'Calc Sensitivity'!$A160))*(1-'Main Input-Output'!$B$45))-'Calc A'!P$82)</f>
        <v>3497.5527037386923</v>
      </c>
      <c r="Q158" s="6">
        <f>IF($B$9&lt;Q$41,"",'Calc A'!Q$69-(('Calc A'!Q$60*(-'Calc Sensitivity'!$A160))*(1-'Main Input-Output'!$B$45))-'Calc A'!Q$82)</f>
        <v>3765.5829748754363</v>
      </c>
      <c r="R158" s="6">
        <f>IF($B$9&lt;R$41,"",'Calc A'!R$69-(('Calc A'!R$60*(-'Calc Sensitivity'!$A160))*(1-'Main Input-Output'!$B$45))-'Calc A'!R$82)</f>
        <v>4046.2140644692254</v>
      </c>
      <c r="S158" s="6">
        <f>IF($B$9&lt;S$41,"",'Calc A'!S$69-(('Calc A'!S$60*(-'Calc Sensitivity'!$A160))*(1-'Main Input-Output'!$B$45))-'Calc A'!S$82)</f>
        <v>4340.1144764622477</v>
      </c>
      <c r="T158" s="6">
        <f>IF($B$9&lt;T$41,"",'Calc A'!T$69-(('Calc A'!T$60*(-'Calc Sensitivity'!$A160))*(1-'Main Input-Output'!$B$45))-'Calc A'!T$82)</f>
        <v>4647.990892800417</v>
      </c>
      <c r="U158" s="6">
        <f>IF($B$9&lt;U$41,"",'Calc A'!U$69-(('Calc A'!U$60*(-'Calc Sensitivity'!$A160))*(1-'Main Input-Output'!$B$45))-'Calc A'!U$82)</f>
        <v>4970.5904391852655</v>
      </c>
      <c r="V158" s="6">
        <f>IF($B$9&lt;V$41,"",'Calc A'!V$69-(('Calc A'!V$60*(-'Calc Sensitivity'!$A160))*(1-'Main Input-Output'!$B$45))-'Calc A'!V$82)</f>
        <v>5298.3234845193529</v>
      </c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outlineLevel="1">
      <c r="A159" s="19"/>
      <c r="B159" s="7"/>
      <c r="C159" s="40">
        <f>C158</f>
        <v>765.73333333333358</v>
      </c>
      <c r="D159" s="257">
        <f>C159+D158</f>
        <v>1623.7957973333332</v>
      </c>
      <c r="E159" s="257">
        <f t="shared" ref="E159:V159" si="73">D159+E158</f>
        <v>2585.0522505774939</v>
      </c>
      <c r="F159" s="257">
        <f t="shared" si="73"/>
        <v>3691.6173136818147</v>
      </c>
      <c r="G159" s="257">
        <f t="shared" si="73"/>
        <v>5015.6166598852406</v>
      </c>
      <c r="H159" s="257">
        <f t="shared" si="73"/>
        <v>6566.6712448856388</v>
      </c>
      <c r="I159" s="257">
        <f t="shared" si="73"/>
        <v>8354.8910032841231</v>
      </c>
      <c r="J159" s="257">
        <f t="shared" si="73"/>
        <v>10390.902098550499</v>
      </c>
      <c r="K159" s="257">
        <f t="shared" si="73"/>
        <v>12685.875770479772</v>
      </c>
      <c r="L159" s="257">
        <f t="shared" si="73"/>
        <v>15225.165423960138</v>
      </c>
      <c r="M159" s="257">
        <f t="shared" si="73"/>
        <v>17988.075830528836</v>
      </c>
      <c r="N159" s="257">
        <f t="shared" si="73"/>
        <v>20984.874623323853</v>
      </c>
      <c r="O159" s="257">
        <f t="shared" si="73"/>
        <v>24226.365411783019</v>
      </c>
      <c r="P159" s="257">
        <f t="shared" si="73"/>
        <v>27723.918115521712</v>
      </c>
      <c r="Q159" s="257">
        <f t="shared" si="73"/>
        <v>31489.501090397149</v>
      </c>
      <c r="R159" s="257">
        <f t="shared" si="73"/>
        <v>35535.715154866375</v>
      </c>
      <c r="S159" s="257">
        <f t="shared" si="73"/>
        <v>39875.829631328626</v>
      </c>
      <c r="T159" s="257">
        <f t="shared" si="73"/>
        <v>44523.820524129042</v>
      </c>
      <c r="U159" s="257">
        <f t="shared" si="73"/>
        <v>49494.410963314309</v>
      </c>
      <c r="V159" s="257">
        <f t="shared" si="73"/>
        <v>54792.73444783366</v>
      </c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</row>
    <row r="160" spans="1:32" outlineLevel="1">
      <c r="A160" s="37">
        <v>0</v>
      </c>
      <c r="B160" s="42">
        <v>0</v>
      </c>
      <c r="C160" s="43" t="e">
        <f ca="1">MATCH(B158,C159:V159)&amp;"Años "&amp;ROUND(((B158-SUM(OFFSET(B158,0,1,1,MATCH(B158,C159:V159))))/OFFSET(B158,0,MATCH(B158,C159:V159)+1))*12,0)&amp;"Meses"</f>
        <v>#DIV/0!</v>
      </c>
      <c r="D160" s="44" t="e">
        <f ca="1">(MATCH(B158,C159:V159))+(ROUND(((B158-SUM(OFFSET(B158,0,1,1,MATCH(B158,C159:V159))))/OFFSET(B158,0,MATCH(B158,C159:V159)+1))*12,0)/10)*10/12</f>
        <v>#DIV/0!</v>
      </c>
      <c r="E160" s="7"/>
      <c r="F160" s="46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21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spans="1:32" outlineLevel="1">
      <c r="A161" s="19"/>
      <c r="B161" s="7"/>
      <c r="C161" s="7"/>
      <c r="D161" s="7"/>
      <c r="E161" s="7"/>
      <c r="F161" s="36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21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1:32" outlineLevel="1">
      <c r="A162" s="37">
        <v>0.1</v>
      </c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38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outlineLevel="1">
      <c r="A163" s="19"/>
      <c r="B163" s="7"/>
      <c r="C163" s="7" t="s">
        <v>28</v>
      </c>
      <c r="D163" s="7"/>
      <c r="E163" s="7"/>
      <c r="F163" s="7"/>
      <c r="G163" s="7"/>
      <c r="H163" s="39"/>
      <c r="I163" s="39"/>
      <c r="J163" s="39"/>
      <c r="K163" s="39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21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  <row r="164" spans="1:32" outlineLevel="1">
      <c r="A164" s="19"/>
      <c r="B164" s="7">
        <f>B140</f>
        <v>61000</v>
      </c>
      <c r="C164" s="6">
        <f>IF($B$9&lt;C$41,"",'Calc A'!C$69+(('Calc A'!C$60*('Calc Sensitivity'!$A162))*(1-'Main Input-Output'!$B$45))-'Calc A'!C$82)</f>
        <v>1153.2757333333336</v>
      </c>
      <c r="D164" s="6">
        <f>IF($B$9&lt;D$41,"",'Calc A'!D$69+(('Calc A'!D$60*('Calc Sensitivity'!$A162))*(1-'Main Input-Output'!$B$45))-'Calc A'!D$82)</f>
        <v>1256.4327986559997</v>
      </c>
      <c r="E164" s="6">
        <f>IF($B$9&lt;E$41,"",'Calc A'!E$69+(('Calc A'!E$60*('Calc Sensitivity'!$A162))*(1-'Main Input-Output'!$B$45))-'Calc A'!E$82)</f>
        <v>1370.7572550504494</v>
      </c>
      <c r="F164" s="6">
        <f>IF($B$9&lt;F$41,"",'Calc A'!F$69+(('Calc A'!F$60*('Calc Sensitivity'!$A162))*(1-'Main Input-Output'!$B$45))-'Calc A'!F$82)</f>
        <v>1527.5073173130772</v>
      </c>
      <c r="G164" s="6">
        <f>IF($B$9&lt;G$41,"",'Calc A'!G$69+(('Calc A'!G$60*('Calc Sensitivity'!$A162))*(1-'Main Input-Output'!$B$45))-'Calc A'!G$82)</f>
        <v>1756.7027269947748</v>
      </c>
      <c r="H164" s="6">
        <f>IF($B$9&lt;H$41,"",'Calc A'!H$69+(('Calc A'!H$60*('Calc Sensitivity'!$A162))*(1-'Main Input-Output'!$B$45))-'Calc A'!H$82)</f>
        <v>1995.8476982510574</v>
      </c>
      <c r="I164" s="6">
        <f>IF($B$9&lt;I$41,"",'Calc A'!I$69+(('Calc A'!I$60*('Calc Sensitivity'!$A162))*(1-'Main Input-Output'!$B$45))-'Calc A'!I$82)</f>
        <v>2245.4403912333673</v>
      </c>
      <c r="J164" s="6">
        <f>IF($B$9&lt;J$41,"",'Calc A'!J$69+(('Calc A'!J$60*('Calc Sensitivity'!$A162))*(1-'Main Input-Output'!$B$45))-'Calc A'!J$82)</f>
        <v>2506.006472582666</v>
      </c>
      <c r="K164" s="6">
        <f>IF($B$9&lt;K$41,"",'Calc A'!K$69+(('Calc A'!K$60*('Calc Sensitivity'!$A162))*(1-'Main Input-Output'!$B$45))-'Calc A'!K$82)</f>
        <v>2778.1007200877798</v>
      </c>
      <c r="L164" s="6">
        <f>IF($B$9&lt;L$41,"",'Calc A'!L$69+(('Calc A'!L$60*('Calc Sensitivity'!$A162))*(1-'Main Input-Output'!$B$45))-'Calc A'!L$82)</f>
        <v>3035.9152713644212</v>
      </c>
      <c r="M164" s="6">
        <f>IF($B$9&lt;M$41,"",'Calc A'!M$69+(('Calc A'!M$60*('Calc Sensitivity'!$A162))*(1-'Main Input-Output'!$B$45))-'Calc A'!M$82)</f>
        <v>3273.4117442164343</v>
      </c>
      <c r="N164" s="6">
        <f>IF($B$9&lt;N$41,"",'Calc A'!N$69+(('Calc A'!N$60*('Calc Sensitivity'!$A162))*(1-'Main Input-Output'!$B$45))-'Calc A'!N$82)</f>
        <v>3521.5635378166298</v>
      </c>
      <c r="O164" s="6">
        <f>IF($B$9&lt;O$41,"",'Calc A'!O$69+(('Calc A'!O$60*('Calc Sensitivity'!$A162))*(1-'Main Input-Output'!$B$45))-'Calc A'!O$82)</f>
        <v>3780.9174604566842</v>
      </c>
      <c r="P164" s="6">
        <f>IF($B$9&lt;P$41,"",'Calc A'!P$69+(('Calc A'!P$60*('Calc Sensitivity'!$A162))*(1-'Main Input-Output'!$B$45))-'Calc A'!P$82)</f>
        <v>4052.0509569518199</v>
      </c>
      <c r="Q164" s="6">
        <f>IF($B$9&lt;Q$41,"",'Calc A'!Q$69+(('Calc A'!Q$60*('Calc Sensitivity'!$A162))*(1-'Main Input-Output'!$B$45))-'Calc A'!Q$82)</f>
        <v>4335.5739092833392</v>
      </c>
      <c r="R164" s="6">
        <f>IF($B$9&lt;R$41,"",'Calc A'!R$69+(('Calc A'!R$60*('Calc Sensitivity'!$A162))*(1-'Main Input-Output'!$B$45))-'Calc A'!R$82)</f>
        <v>4632.1305455844849</v>
      </c>
      <c r="S164" s="6">
        <f>IF($B$9&lt;S$41,"",'Calc A'!S$69+(('Calc A'!S$60*('Calc Sensitivity'!$A162))*(1-'Main Input-Output'!$B$45))-'Calc A'!S$82)</f>
        <v>4942.401464059868</v>
      </c>
      <c r="T164" s="6">
        <f>IF($B$9&lt;T$41,"",'Calc A'!T$69+(('Calc A'!T$60*('Calc Sensitivity'!$A162))*(1-'Main Input-Output'!$B$45))-'Calc A'!T$82)</f>
        <v>5267.1057788315138</v>
      </c>
      <c r="U164" s="6">
        <f>IF($B$9&lt;U$41,"",'Calc A'!U$69+(('Calc A'!U$60*('Calc Sensitivity'!$A162))*(1-'Main Input-Output'!$B$45))-'Calc A'!U$82)</f>
        <v>5607.0033951320711</v>
      </c>
      <c r="V164" s="6">
        <f>IF($B$9&lt;V$41,"",'Calc A'!V$69+(('Calc A'!V$60*('Calc Sensitivity'!$A162))*(1-'Main Input-Output'!$B$45))-'Calc A'!V$82)</f>
        <v>5952.5178184553124</v>
      </c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outlineLevel="1">
      <c r="A165" s="19"/>
      <c r="B165" s="7" t="s">
        <v>27</v>
      </c>
      <c r="C165" s="40">
        <f>C164</f>
        <v>1153.2757333333336</v>
      </c>
      <c r="D165" s="40">
        <f>C165+D164</f>
        <v>2409.7085319893331</v>
      </c>
      <c r="E165" s="40">
        <f t="shared" ref="E165:V165" si="74">D165+E164</f>
        <v>3780.4657870397823</v>
      </c>
      <c r="F165" s="40">
        <f t="shared" si="74"/>
        <v>5307.9731043528591</v>
      </c>
      <c r="G165" s="40">
        <f t="shared" si="74"/>
        <v>7064.6758313476339</v>
      </c>
      <c r="H165" s="40">
        <f t="shared" si="74"/>
        <v>9060.5235295986913</v>
      </c>
      <c r="I165" s="40">
        <f t="shared" si="74"/>
        <v>11305.963920832059</v>
      </c>
      <c r="J165" s="40">
        <f t="shared" si="74"/>
        <v>13811.970393414726</v>
      </c>
      <c r="K165" s="40">
        <f>J165+K164</f>
        <v>16590.071113502505</v>
      </c>
      <c r="L165" s="40">
        <f t="shared" si="74"/>
        <v>19625.986384866927</v>
      </c>
      <c r="M165" s="40">
        <f t="shared" si="74"/>
        <v>22899.398129083362</v>
      </c>
      <c r="N165" s="40">
        <f t="shared" si="74"/>
        <v>26420.961666899992</v>
      </c>
      <c r="O165" s="40">
        <f t="shared" si="74"/>
        <v>30201.879127356675</v>
      </c>
      <c r="P165" s="40">
        <f t="shared" si="74"/>
        <v>34253.930084308493</v>
      </c>
      <c r="Q165" s="40">
        <f t="shared" si="74"/>
        <v>38589.503993591832</v>
      </c>
      <c r="R165" s="40">
        <f t="shared" si="74"/>
        <v>43221.634539176317</v>
      </c>
      <c r="S165" s="40">
        <f t="shared" si="74"/>
        <v>48164.036003236186</v>
      </c>
      <c r="T165" s="40">
        <f t="shared" si="74"/>
        <v>53431.141782067702</v>
      </c>
      <c r="U165" s="40">
        <f t="shared" si="74"/>
        <v>59038.145177199774</v>
      </c>
      <c r="V165" s="41">
        <f t="shared" si="74"/>
        <v>64990.66299565509</v>
      </c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</row>
    <row r="166" spans="1:32" outlineLevel="1">
      <c r="A166" s="19"/>
      <c r="B166" s="42">
        <v>0.1</v>
      </c>
      <c r="C166" s="43" t="str">
        <f ca="1">MATCH(B164,C165:V165)&amp;" Años "&amp;ROUND(((B164-SUM(OFFSET(B164,0,1,1,MATCH(B164,C165:V165))))/OFFSET(B164,0,MATCH(B164,C165:V165)+1))*12,0)&amp;" Meses"</f>
        <v>19 Años 4 Meses</v>
      </c>
      <c r="D166" s="44">
        <f ca="1">(MATCH(B164,C165:V165))+(ROUND(((B164-SUM(OFFSET(B164,0,1,1,MATCH(B164,C165:V165))))/OFFSET(B164,0,MATCH(B164,C165:V165)+1))*12,0)/10)*10/12</f>
        <v>19.333333333333332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21"/>
      <c r="W166" s="7"/>
      <c r="X166" s="7"/>
      <c r="Y166" s="7"/>
      <c r="Z166" s="7"/>
      <c r="AA166" s="7"/>
      <c r="AB166" s="7"/>
      <c r="AC166" s="7"/>
      <c r="AD166" s="7"/>
      <c r="AE166" s="7"/>
      <c r="AF166" s="7"/>
    </row>
    <row r="167" spans="1:32" outlineLevel="1">
      <c r="A167" s="19"/>
      <c r="B167" s="34"/>
      <c r="C167" s="7"/>
      <c r="D167" s="7"/>
      <c r="E167" s="7"/>
      <c r="F167" s="34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21"/>
      <c r="W167" s="7"/>
      <c r="X167" s="7"/>
      <c r="Y167" s="7"/>
      <c r="Z167" s="7"/>
      <c r="AA167" s="7"/>
      <c r="AB167" s="7"/>
      <c r="AC167" s="7"/>
      <c r="AD167" s="7"/>
      <c r="AE167" s="7"/>
      <c r="AF167" s="7"/>
    </row>
    <row r="168" spans="1:32" outlineLevel="1">
      <c r="A168" s="19"/>
      <c r="B168" s="7"/>
      <c r="C168" s="7"/>
      <c r="D168" s="7"/>
      <c r="E168" s="7"/>
      <c r="F168" s="36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21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 spans="1:32" outlineLevel="1">
      <c r="A169" s="37">
        <v>0.2</v>
      </c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outlineLevel="1">
      <c r="A170" s="19"/>
      <c r="B170" s="7"/>
      <c r="C170" s="7" t="s">
        <v>28</v>
      </c>
      <c r="D170" s="7"/>
      <c r="E170" s="7"/>
      <c r="F170" s="7"/>
      <c r="G170" s="7"/>
      <c r="H170" s="39"/>
      <c r="I170" s="39"/>
      <c r="J170" s="39"/>
      <c r="K170" s="39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21"/>
      <c r="W170" s="7"/>
      <c r="X170" s="7"/>
      <c r="Y170" s="7"/>
      <c r="Z170" s="7"/>
      <c r="AA170" s="7"/>
      <c r="AB170" s="7"/>
      <c r="AC170" s="7"/>
      <c r="AD170" s="7"/>
      <c r="AE170" s="7"/>
      <c r="AF170" s="7"/>
    </row>
    <row r="171" spans="1:32" outlineLevel="1">
      <c r="A171" s="19"/>
      <c r="B171" s="7">
        <f>B140</f>
        <v>61000</v>
      </c>
      <c r="C171" s="6">
        <f>IF($B$9&lt;C$41,"",'Calc A'!C$69+(('Calc A'!C$60*('Calc Sensitivity'!$A169))*(1-'Main Input-Output'!$B$45))-'Calc A'!C$82)</f>
        <v>1540.8181333333337</v>
      </c>
      <c r="D171" s="6">
        <f>IF($B$9&lt;D$41,"",'Calc A'!D$69+(('Calc A'!D$60*('Calc Sensitivity'!$A169))*(1-'Main Input-Output'!$B$45))-'Calc A'!D$82)</f>
        <v>1654.8031333119998</v>
      </c>
      <c r="E171" s="6">
        <f>IF($B$9&lt;E$41,"",'Calc A'!E$69+(('Calc A'!E$60*('Calc Sensitivity'!$A169))*(1-'Main Input-Output'!$B$45))-'Calc A'!E$82)</f>
        <v>1780.2580568567382</v>
      </c>
      <c r="F171" s="6">
        <f>IF($B$9&lt;F$41,"",'Calc A'!F$69+(('Calc A'!F$60*('Calc Sensitivity'!$A169))*(1-'Main Input-Output'!$B$45))-'Calc A'!F$82)</f>
        <v>1948.4495715218336</v>
      </c>
      <c r="G171" s="6">
        <f>IF($B$9&lt;G$41,"",'Calc A'!G$69+(('Calc A'!G$60*('Calc Sensitivity'!$A169))*(1-'Main Input-Output'!$B$45))-'Calc A'!G$82)</f>
        <v>2189.4061077861238</v>
      </c>
      <c r="H171" s="6">
        <f>IF($B$9&lt;H$41,"",'Calc A'!H$69+(('Calc A'!H$60*('Calc Sensitivity'!$A169))*(1-'Main Input-Output'!$B$45))-'Calc A'!H$82)</f>
        <v>2440.6408115017166</v>
      </c>
      <c r="I171" s="6">
        <f>IF($B$9&lt;I$41,"",'Calc A'!I$69+(('Calc A'!I$60*('Calc Sensitivity'!$A169))*(1-'Main Input-Output'!$B$45))-'Calc A'!I$82)</f>
        <v>2702.6610240682503</v>
      </c>
      <c r="J171" s="6">
        <f>IF($B$9&lt;J$41,"",'Calc A'!J$69+(('Calc A'!J$60*('Calc Sensitivity'!$A169))*(1-'Main Input-Output'!$B$45))-'Calc A'!J$82)</f>
        <v>2976.0018498989557</v>
      </c>
      <c r="K171" s="6">
        <f>IF($B$9&lt;K$41,"",'Calc A'!K$69+(('Calc A'!K$60*('Calc Sensitivity'!$A169))*(1-'Main Input-Output'!$B$45))-'Calc A'!K$82)</f>
        <v>3261.2277682462864</v>
      </c>
      <c r="L171" s="6">
        <f>IF($B$9&lt;L$41,"",'Calc A'!L$69+(('Calc A'!L$60*('Calc Sensitivity'!$A169))*(1-'Main Input-Output'!$B$45))-'Calc A'!L$82)</f>
        <v>3532.5408892484766</v>
      </c>
      <c r="M171" s="6">
        <f>IF($B$9&lt;M$41,"",'Calc A'!M$69+(('Calc A'!M$60*('Calc Sensitivity'!$A169))*(1-'Main Input-Output'!$B$45))-'Calc A'!M$82)</f>
        <v>3783.9130818641697</v>
      </c>
      <c r="N171" s="6">
        <f>IF($B$9&lt;N$41,"",'Calc A'!N$69+(('Calc A'!N$60*('Calc Sensitivity'!$A169))*(1-'Main Input-Output'!$B$45))-'Calc A'!N$82)</f>
        <v>4046.328282838243</v>
      </c>
      <c r="O171" s="6">
        <f>IF($B$9&lt;O$41,"",'Calc A'!O$69+(('Calc A'!O$60*('Calc Sensitivity'!$A169))*(1-'Main Input-Output'!$B$45))-'Calc A'!O$82)</f>
        <v>4320.3441324542018</v>
      </c>
      <c r="P171" s="6">
        <f>IF($B$9&lt;P$41,"",'Calc A'!P$69+(('Calc A'!P$60*('Calc Sensitivity'!$A169))*(1-'Main Input-Output'!$B$45))-'Calc A'!P$82)</f>
        <v>4606.5492101649479</v>
      </c>
      <c r="Q171" s="6">
        <f>IF($B$9&lt;Q$41,"",'Calc A'!Q$69+(('Calc A'!Q$60*('Calc Sensitivity'!$A169))*(1-'Main Input-Output'!$B$45))-'Calc A'!Q$82)</f>
        <v>4905.5648436912415</v>
      </c>
      <c r="R171" s="6">
        <f>IF($B$9&lt;R$41,"",'Calc A'!R$69+(('Calc A'!R$60*('Calc Sensitivity'!$A169))*(1-'Main Input-Output'!$B$45))-'Calc A'!R$82)</f>
        <v>5218.0470266997445</v>
      </c>
      <c r="S171" s="6">
        <f>IF($B$9&lt;S$41,"",'Calc A'!S$69+(('Calc A'!S$60*('Calc Sensitivity'!$A169))*(1-'Main Input-Output'!$B$45))-'Calc A'!S$82)</f>
        <v>5544.6884516574873</v>
      </c>
      <c r="T171" s="6">
        <f>IF($B$9&lt;T$41,"",'Calc A'!T$69+(('Calc A'!T$60*('Calc Sensitivity'!$A169))*(1-'Main Input-Output'!$B$45))-'Calc A'!T$82)</f>
        <v>5886.2206648626106</v>
      </c>
      <c r="U171" s="6">
        <f>IF($B$9&lt;U$41,"",'Calc A'!U$69+(('Calc A'!U$60*('Calc Sensitivity'!$A169))*(1-'Main Input-Output'!$B$45))-'Calc A'!U$82)</f>
        <v>6243.4163510788776</v>
      </c>
      <c r="V171" s="6">
        <f>IF($B$9&lt;V$41,"",'Calc A'!V$69+(('Calc A'!V$60*('Calc Sensitivity'!$A169))*(1-'Main Input-Output'!$B$45))-'Calc A'!V$82)</f>
        <v>6606.712152391272</v>
      </c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outlineLevel="1">
      <c r="A172" s="19"/>
      <c r="B172" s="7" t="s">
        <v>27</v>
      </c>
      <c r="C172" s="40">
        <f>C171</f>
        <v>1540.8181333333337</v>
      </c>
      <c r="D172" s="40">
        <f t="shared" ref="D172:V172" si="75">C172+D171</f>
        <v>3195.6212666453334</v>
      </c>
      <c r="E172" s="40">
        <f t="shared" si="75"/>
        <v>4975.8793235020712</v>
      </c>
      <c r="F172" s="40">
        <f t="shared" si="75"/>
        <v>6924.3288950239048</v>
      </c>
      <c r="G172" s="40">
        <f t="shared" si="75"/>
        <v>9113.7350028100282</v>
      </c>
      <c r="H172" s="40">
        <f t="shared" si="75"/>
        <v>11554.375814311745</v>
      </c>
      <c r="I172" s="40">
        <f t="shared" si="75"/>
        <v>14257.036838379994</v>
      </c>
      <c r="J172" s="40">
        <f t="shared" si="75"/>
        <v>17233.03868827895</v>
      </c>
      <c r="K172" s="40">
        <f>J172+K171</f>
        <v>20494.266456525234</v>
      </c>
      <c r="L172" s="40">
        <f t="shared" si="75"/>
        <v>24026.807345773712</v>
      </c>
      <c r="M172" s="40">
        <f t="shared" si="75"/>
        <v>27810.720427637883</v>
      </c>
      <c r="N172" s="40">
        <f t="shared" si="75"/>
        <v>31857.048710476127</v>
      </c>
      <c r="O172" s="40">
        <f t="shared" si="75"/>
        <v>36177.392842930327</v>
      </c>
      <c r="P172" s="40">
        <f t="shared" si="75"/>
        <v>40783.942053095278</v>
      </c>
      <c r="Q172" s="40">
        <f t="shared" si="75"/>
        <v>45689.506896786523</v>
      </c>
      <c r="R172" s="40">
        <f t="shared" si="75"/>
        <v>50907.553923486266</v>
      </c>
      <c r="S172" s="40">
        <f t="shared" si="75"/>
        <v>56452.242375143753</v>
      </c>
      <c r="T172" s="40">
        <f t="shared" si="75"/>
        <v>62338.463040006362</v>
      </c>
      <c r="U172" s="40">
        <f t="shared" si="75"/>
        <v>68581.87939108524</v>
      </c>
      <c r="V172" s="41">
        <f t="shared" si="75"/>
        <v>75188.591543476505</v>
      </c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2" outlineLevel="1">
      <c r="A173" s="19"/>
      <c r="B173" s="42">
        <v>0.2</v>
      </c>
      <c r="C173" s="43" t="str">
        <f ca="1">MATCH(B171,C172:V172)&amp;" Años "&amp;ROUND(((B171-SUM(OFFSET(B171,0,1,1,MATCH(B171,C172:V172))))/OFFSET(B171,0,MATCH(B171,C172:V172)+1))*12,0)&amp;" Meses"</f>
        <v>17 Años 9 Meses</v>
      </c>
      <c r="D173" s="44">
        <f ca="1">(MATCH(B171,C172:V172))+(ROUND(((B171-SUM(OFFSET(B171,0,1,1,MATCH(B171,C172:V172))))/OFFSET(B171,0,MATCH(B171,C172:V172)+1))*12,0)/10)*10/12</f>
        <v>17.75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21"/>
      <c r="W173" s="7"/>
      <c r="X173" s="7"/>
      <c r="Y173" s="7"/>
      <c r="Z173" s="7"/>
      <c r="AA173" s="7"/>
      <c r="AB173" s="7"/>
      <c r="AC173" s="7"/>
      <c r="AD173" s="7"/>
      <c r="AE173" s="7"/>
      <c r="AF173" s="7"/>
    </row>
    <row r="174" spans="1:32" outlineLevel="1">
      <c r="A174" s="19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21"/>
      <c r="W174" s="7"/>
      <c r="X174" s="7"/>
      <c r="Y174" s="7"/>
      <c r="Z174" s="7"/>
      <c r="AA174" s="7"/>
      <c r="AB174" s="7"/>
      <c r="AC174" s="7"/>
      <c r="AD174" s="7"/>
      <c r="AE174" s="7"/>
      <c r="AF174" s="7"/>
    </row>
    <row r="175" spans="1:32" outlineLevel="1">
      <c r="A175" s="19"/>
      <c r="B175" s="7"/>
      <c r="C175" s="7"/>
      <c r="D175" s="7"/>
      <c r="E175" s="7"/>
      <c r="F175" s="3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21"/>
      <c r="W175" s="7"/>
      <c r="X175" s="7"/>
      <c r="Y175" s="7"/>
      <c r="Z175" s="7"/>
      <c r="AA175" s="7"/>
      <c r="AB175" s="7"/>
      <c r="AC175" s="7"/>
      <c r="AD175" s="7"/>
      <c r="AE175" s="7"/>
      <c r="AF175" s="7"/>
    </row>
    <row r="176" spans="1:32" outlineLevel="1">
      <c r="A176" s="37">
        <v>0.3</v>
      </c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38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3" outlineLevel="1">
      <c r="A177" s="19"/>
      <c r="B177" s="7"/>
      <c r="C177" s="7" t="s">
        <v>28</v>
      </c>
      <c r="D177" s="7"/>
      <c r="E177" s="7"/>
      <c r="F177" s="7"/>
      <c r="G177" s="7"/>
      <c r="H177" s="39"/>
      <c r="I177" s="39"/>
      <c r="J177" s="39"/>
      <c r="K177" s="39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21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spans="1:33" outlineLevel="1">
      <c r="A178" s="19"/>
      <c r="B178" s="7">
        <f>B140</f>
        <v>61000</v>
      </c>
      <c r="C178" s="6">
        <f>IF($B$9&lt;C$41,"",'Calc A'!C$69+(('Calc A'!C$60*('Calc Sensitivity'!$A176))*(1-'Main Input-Output'!$B$45))-'Calc A'!C$82)</f>
        <v>1928.3605333333337</v>
      </c>
      <c r="D178" s="6">
        <f>IF($B$9&lt;D$41,"",'Calc A'!D$69+(('Calc A'!D$60*('Calc Sensitivity'!$A176))*(1-'Main Input-Output'!$B$45))-'Calc A'!D$82)</f>
        <v>2053.1734679679994</v>
      </c>
      <c r="E178" s="6">
        <f>IF($B$9&lt;E$41,"",'Calc A'!E$69+(('Calc A'!E$60*('Calc Sensitivity'!$A176))*(1-'Main Input-Output'!$B$45))-'Calc A'!E$82)</f>
        <v>2189.7588586630268</v>
      </c>
      <c r="F178" s="6">
        <f>IF($B$9&lt;F$41,"",'Calc A'!F$69+(('Calc A'!F$60*('Calc Sensitivity'!$A176))*(1-'Main Input-Output'!$B$45))-'Calc A'!F$82)</f>
        <v>2369.3918257305904</v>
      </c>
      <c r="G178" s="6">
        <f>IF($B$9&lt;G$41,"",'Calc A'!G$69+(('Calc A'!G$60*('Calc Sensitivity'!$A176))*(1-'Main Input-Output'!$B$45))-'Calc A'!G$82)</f>
        <v>2622.1094885774728</v>
      </c>
      <c r="H178" s="6">
        <f>IF($B$9&lt;H$41,"",'Calc A'!H$69+(('Calc A'!H$60*('Calc Sensitivity'!$A176))*(1-'Main Input-Output'!$B$45))-'Calc A'!H$82)</f>
        <v>2885.4339247523758</v>
      </c>
      <c r="I178" s="6">
        <f>IF($B$9&lt;I$41,"",'Calc A'!I$69+(('Calc A'!I$60*('Calc Sensitivity'!$A176))*(1-'Main Input-Output'!$B$45))-'Calc A'!I$82)</f>
        <v>3159.8816569031333</v>
      </c>
      <c r="J178" s="6">
        <f>IF($B$9&lt;J$41,"",'Calc A'!J$69+(('Calc A'!J$60*('Calc Sensitivity'!$A176))*(1-'Main Input-Output'!$B$45))-'Calc A'!J$82)</f>
        <v>3445.9972272152449</v>
      </c>
      <c r="K178" s="6">
        <f>IF($B$9&lt;K$41,"",'Calc A'!K$69+(('Calc A'!K$60*('Calc Sensitivity'!$A176))*(1-'Main Input-Output'!$B$45))-'Calc A'!K$82)</f>
        <v>3744.3548164047925</v>
      </c>
      <c r="L178" s="6">
        <f>IF($B$9&lt;L$41,"",'Calc A'!L$69+(('Calc A'!L$60*('Calc Sensitivity'!$A176))*(1-'Main Input-Output'!$B$45))-'Calc A'!L$82)</f>
        <v>4029.1665071325315</v>
      </c>
      <c r="M178" s="6">
        <f>IF($B$9&lt;M$41,"",'Calc A'!M$69+(('Calc A'!M$60*('Calc Sensitivity'!$A176))*(1-'Main Input-Output'!$B$45))-'Calc A'!M$82)</f>
        <v>4294.4144195119052</v>
      </c>
      <c r="N178" s="6">
        <f>IF($B$9&lt;N$41,"",'Calc A'!N$69+(('Calc A'!N$60*('Calc Sensitivity'!$A176))*(1-'Main Input-Output'!$B$45))-'Calc A'!N$82)</f>
        <v>4571.0930278598571</v>
      </c>
      <c r="O178" s="6">
        <f>IF($B$9&lt;O$41,"",'Calc A'!O$69+(('Calc A'!O$60*('Calc Sensitivity'!$A176))*(1-'Main Input-Output'!$B$45))-'Calc A'!O$82)</f>
        <v>4859.7708044517185</v>
      </c>
      <c r="P178" s="6">
        <f>IF($B$9&lt;P$41,"",'Calc A'!P$69+(('Calc A'!P$60*('Calc Sensitivity'!$A176))*(1-'Main Input-Output'!$B$45))-'Calc A'!P$82)</f>
        <v>5161.0474633780759</v>
      </c>
      <c r="Q178" s="6">
        <f>IF($B$9&lt;Q$41,"",'Calc A'!Q$69+(('Calc A'!Q$60*('Calc Sensitivity'!$A176))*(1-'Main Input-Output'!$B$45))-'Calc A'!Q$82)</f>
        <v>5475.5557780991439</v>
      </c>
      <c r="R178" s="6">
        <f>IF($B$9&lt;R$41,"",'Calc A'!R$69+(('Calc A'!R$60*('Calc Sensitivity'!$A176))*(1-'Main Input-Output'!$B$45))-'Calc A'!R$82)</f>
        <v>5803.963507815004</v>
      </c>
      <c r="S178" s="6">
        <f>IF($B$9&lt;S$41,"",'Calc A'!S$69+(('Calc A'!S$60*('Calc Sensitivity'!$A176))*(1-'Main Input-Output'!$B$45))-'Calc A'!S$82)</f>
        <v>6146.9754392551076</v>
      </c>
      <c r="T178" s="6">
        <f>IF($B$9&lt;T$41,"",'Calc A'!T$69+(('Calc A'!T$60*('Calc Sensitivity'!$A176))*(1-'Main Input-Output'!$B$45))-'Calc A'!T$82)</f>
        <v>6505.3355508937075</v>
      </c>
      <c r="U178" s="6">
        <f>IF($B$9&lt;U$41,"",'Calc A'!U$69+(('Calc A'!U$60*('Calc Sensitivity'!$A176))*(1-'Main Input-Output'!$B$45))-'Calc A'!U$82)</f>
        <v>6879.8293070256832</v>
      </c>
      <c r="V178" s="6">
        <f>IF($B$9&lt;V$41,"",'Calc A'!V$69+(('Calc A'!V$60*('Calc Sensitivity'!$A176))*(1-'Main Input-Output'!$B$45))-'Calc A'!V$82)</f>
        <v>7260.9064863272324</v>
      </c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3" outlineLevel="1">
      <c r="A179" s="19"/>
      <c r="B179" s="7" t="s">
        <v>27</v>
      </c>
      <c r="C179" s="40">
        <f>C178</f>
        <v>1928.3605333333337</v>
      </c>
      <c r="D179" s="40">
        <f t="shared" ref="D179:V179" si="76">C179+D178</f>
        <v>3981.5340013013329</v>
      </c>
      <c r="E179" s="40">
        <f t="shared" si="76"/>
        <v>6171.2928599643601</v>
      </c>
      <c r="F179" s="40">
        <f t="shared" si="76"/>
        <v>8540.6846856949505</v>
      </c>
      <c r="G179" s="40">
        <f t="shared" si="76"/>
        <v>11162.794174272423</v>
      </c>
      <c r="H179" s="40">
        <f t="shared" si="76"/>
        <v>14048.2280990248</v>
      </c>
      <c r="I179" s="40">
        <f t="shared" si="76"/>
        <v>17208.109755927933</v>
      </c>
      <c r="J179" s="40">
        <f t="shared" si="76"/>
        <v>20654.106983143178</v>
      </c>
      <c r="K179" s="40">
        <f>J179+K178</f>
        <v>24398.461799547971</v>
      </c>
      <c r="L179" s="40">
        <f t="shared" si="76"/>
        <v>28427.628306680504</v>
      </c>
      <c r="M179" s="40">
        <f t="shared" si="76"/>
        <v>32722.042726192409</v>
      </c>
      <c r="N179" s="40">
        <f t="shared" si="76"/>
        <v>37293.135754052266</v>
      </c>
      <c r="O179" s="40">
        <f t="shared" si="76"/>
        <v>42152.906558503986</v>
      </c>
      <c r="P179" s="40">
        <f t="shared" si="76"/>
        <v>47313.954021882062</v>
      </c>
      <c r="Q179" s="40">
        <f t="shared" si="76"/>
        <v>52789.509799981206</v>
      </c>
      <c r="R179" s="40">
        <f t="shared" si="76"/>
        <v>58593.473307796208</v>
      </c>
      <c r="S179" s="40">
        <f t="shared" si="76"/>
        <v>64740.448747051312</v>
      </c>
      <c r="T179" s="40">
        <f t="shared" si="76"/>
        <v>71245.784297945022</v>
      </c>
      <c r="U179" s="40">
        <f t="shared" si="76"/>
        <v>78125.613604970698</v>
      </c>
      <c r="V179" s="41">
        <f t="shared" si="76"/>
        <v>85386.520091297934</v>
      </c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</row>
    <row r="180" spans="1:33" outlineLevel="1">
      <c r="A180" s="7"/>
      <c r="B180" s="42">
        <v>0.3</v>
      </c>
      <c r="C180" s="43" t="str">
        <f ca="1">MATCH(B178,C179:V179)&amp;" Años "&amp;ROUND(((B178-SUM(OFFSET(B178,0,1,1,MATCH(B178,C179:V179))))/OFFSET(B178,0,MATCH(B178,C179:V179)+1))*12,0)&amp;" Meses"</f>
        <v>16 Años 5 Meses</v>
      </c>
      <c r="D180" s="44">
        <f ca="1">(MATCH(B178,C179:V179))+(ROUND(((B178-SUM(OFFSET(B178,0,1,1,MATCH(B178,C179:V179))))/OFFSET(B178,0,MATCH(B178,C179:V179)+1))*12,0)/10)*10/12</f>
        <v>16.416666666666668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21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spans="1:33" outlineLevel="1">
      <c r="A181" s="47" t="s">
        <v>6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21"/>
      <c r="W181" s="7"/>
      <c r="X181" s="7"/>
      <c r="Y181" s="7"/>
      <c r="Z181" s="7"/>
      <c r="AA181" s="7"/>
      <c r="AB181" s="7"/>
      <c r="AC181" s="7"/>
      <c r="AD181" s="7"/>
      <c r="AE181" s="7"/>
      <c r="AF181" s="7"/>
    </row>
    <row r="182" spans="1:33" outlineLevel="1">
      <c r="A182" s="7"/>
      <c r="B182" s="34">
        <v>-0.3</v>
      </c>
      <c r="C182" s="34">
        <v>-0.2</v>
      </c>
      <c r="D182" s="34">
        <v>-0.1</v>
      </c>
      <c r="E182" s="34">
        <v>0</v>
      </c>
      <c r="F182" s="34">
        <v>0.1</v>
      </c>
      <c r="G182" s="34">
        <v>0.2</v>
      </c>
      <c r="H182" s="34">
        <v>0.3</v>
      </c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21"/>
      <c r="W182" s="7"/>
      <c r="X182" s="7"/>
      <c r="Y182" s="7"/>
      <c r="Z182" s="7"/>
      <c r="AA182" s="7"/>
      <c r="AB182" s="7"/>
      <c r="AC182" s="7"/>
      <c r="AD182" s="7"/>
      <c r="AE182" s="7"/>
      <c r="AF182" s="7"/>
    </row>
    <row r="183" spans="1:33" outlineLevel="1">
      <c r="A183" s="22"/>
      <c r="B183" s="48" t="e">
        <f ca="1">$D$142</f>
        <v>#DIV/0!</v>
      </c>
      <c r="C183" s="48" t="e">
        <f ca="1">$D$149</f>
        <v>#DIV/0!</v>
      </c>
      <c r="D183" s="48" t="e">
        <f ca="1">$D$156</f>
        <v>#DIV/0!</v>
      </c>
      <c r="E183" s="217" t="e">
        <f ca="1">$D$160</f>
        <v>#DIV/0!</v>
      </c>
      <c r="F183" s="48">
        <f ca="1">$D$166</f>
        <v>19.333333333333332</v>
      </c>
      <c r="G183" s="48">
        <f ca="1">$D$173</f>
        <v>17.75</v>
      </c>
      <c r="H183" s="48">
        <f ca="1">$D$180</f>
        <v>16.416666666666668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3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outlineLevel="1">
      <c r="A184" s="7"/>
      <c r="B184" s="34"/>
      <c r="C184" s="4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</row>
    <row r="185" spans="1:33" outlineLevel="1">
      <c r="A185" s="35" t="s">
        <v>30</v>
      </c>
      <c r="B185" s="34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21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</row>
    <row r="186" spans="1:33" outlineLevel="1">
      <c r="A186" s="19" t="s">
        <v>31</v>
      </c>
      <c r="B186" s="34" t="s">
        <v>26</v>
      </c>
      <c r="C186" s="7" t="s">
        <v>29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21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</row>
    <row r="187" spans="1:33" outlineLevel="1">
      <c r="A187" s="19"/>
      <c r="B187" s="7"/>
      <c r="C187" s="7"/>
      <c r="D187" s="7"/>
      <c r="E187" s="7"/>
      <c r="F187" s="3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21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</row>
    <row r="188" spans="1:33" outlineLevel="1">
      <c r="A188" s="37">
        <v>-0.3</v>
      </c>
      <c r="B188" s="6">
        <f>(1+A188)*'Calc A'!$B$46</f>
        <v>-854</v>
      </c>
      <c r="C188" s="6">
        <f t="shared" ref="C188:V188" si="77">IF($B$9&lt;C$41,"",B188*(1+$B$7))</f>
        <v>-879.62</v>
      </c>
      <c r="D188" s="6">
        <f t="shared" si="77"/>
        <v>-906.0086</v>
      </c>
      <c r="E188" s="6">
        <f t="shared" si="77"/>
        <v>-933.18885799999998</v>
      </c>
      <c r="F188" s="6">
        <f t="shared" si="77"/>
        <v>-961.18452374000003</v>
      </c>
      <c r="G188" s="6">
        <f t="shared" si="77"/>
        <v>-990.02005945220003</v>
      </c>
      <c r="H188" s="6">
        <f t="shared" si="77"/>
        <v>-1019.7206612357661</v>
      </c>
      <c r="I188" s="6">
        <f t="shared" si="77"/>
        <v>-1050.3122810728391</v>
      </c>
      <c r="J188" s="6">
        <f t="shared" si="77"/>
        <v>-1081.8216495050244</v>
      </c>
      <c r="K188" s="6">
        <f t="shared" si="77"/>
        <v>-1114.2762989901753</v>
      </c>
      <c r="L188" s="6">
        <f t="shared" si="77"/>
        <v>-1147.7045879598807</v>
      </c>
      <c r="M188" s="6">
        <f t="shared" si="77"/>
        <v>-1182.135725598677</v>
      </c>
      <c r="N188" s="6">
        <f t="shared" si="77"/>
        <v>-1217.5997973666374</v>
      </c>
      <c r="O188" s="6">
        <f t="shared" si="77"/>
        <v>-1254.1277912876365</v>
      </c>
      <c r="P188" s="6">
        <f t="shared" si="77"/>
        <v>-1291.7516250262656</v>
      </c>
      <c r="Q188" s="6">
        <f t="shared" si="77"/>
        <v>-1330.5041737770537</v>
      </c>
      <c r="R188" s="6">
        <f t="shared" si="77"/>
        <v>-1370.4192989903654</v>
      </c>
      <c r="S188" s="6">
        <f t="shared" si="77"/>
        <v>-1411.5318779600764</v>
      </c>
      <c r="T188" s="6">
        <f t="shared" si="77"/>
        <v>-1453.8778342988787</v>
      </c>
      <c r="U188" s="6">
        <f t="shared" si="77"/>
        <v>-1497.4941693278452</v>
      </c>
      <c r="V188" s="6">
        <f t="shared" si="77"/>
        <v>-1542.4189944076807</v>
      </c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7"/>
    </row>
    <row r="189" spans="1:33" outlineLevel="1">
      <c r="A189" s="19"/>
      <c r="B189" s="7"/>
      <c r="C189" s="7" t="s">
        <v>28</v>
      </c>
      <c r="D189" s="7"/>
      <c r="E189" s="7"/>
      <c r="F189" s="7"/>
      <c r="G189" s="7"/>
      <c r="H189" s="39"/>
      <c r="I189" s="39"/>
      <c r="J189" s="39"/>
      <c r="K189" s="39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21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</row>
    <row r="190" spans="1:33" outlineLevel="1">
      <c r="A190" s="19"/>
      <c r="B190" s="7">
        <f>B140</f>
        <v>61000</v>
      </c>
      <c r="C190" s="40">
        <f>'Calc A'!C$69-'Calc A'!C$46+C188</f>
        <v>-1333.8866666666663</v>
      </c>
      <c r="D190" s="40">
        <f>'Calc A'!D$69-'Calc A'!D$46+D188</f>
        <v>-1231.3461360000001</v>
      </c>
      <c r="E190" s="40">
        <f>'Calc A'!E$69-'Calc A'!E$46+E188</f>
        <v>-1117.6344047558391</v>
      </c>
      <c r="F190" s="40">
        <f>'Calc A'!F$69-'Calc A'!F$46+F188</f>
        <v>-961.49252063567883</v>
      </c>
      <c r="G190" s="40">
        <f>'Calc A'!G$69-'Calc A'!G$46+G188</f>
        <v>-732.89996504877377</v>
      </c>
      <c r="H190" s="40">
        <f>'Calc A'!H$69-'Calc A'!H$46+H188</f>
        <v>-494.35170558936738</v>
      </c>
      <c r="I190" s="40">
        <f>'Calc A'!I$69-'Calc A'!I$46+I188</f>
        <v>-245.34872090897375</v>
      </c>
      <c r="J190" s="40">
        <f>'Calc A'!J$69-'Calc A'!J$46+J188</f>
        <v>14.63556157969424</v>
      </c>
      <c r="K190" s="40">
        <f>'Calc A'!K$69-'Calc A'!K$46+K188</f>
        <v>286.15687223199006</v>
      </c>
      <c r="L190" s="40">
        <f>'Calc A'!L$69-'Calc A'!L$46+L188</f>
        <v>543.40834979216424</v>
      </c>
      <c r="M190" s="40">
        <f>'Calc A'!M$69-'Calc A'!M$46+M188</f>
        <v>780.35266376985078</v>
      </c>
      <c r="N190" s="40">
        <f>'Calc A'!N$69-'Calc A'!N$46+N188</f>
        <v>1027.9643177122032</v>
      </c>
      <c r="O190" s="40">
        <f>'Calc A'!O$69-'Calc A'!O$46+O188</f>
        <v>1286.7912791238698</v>
      </c>
      <c r="P190" s="40">
        <f>'Calc A'!P$69-'Calc A'!P$46+P188</f>
        <v>1557.4122091233357</v>
      </c>
      <c r="Q190" s="40">
        <f>'Calc A'!Q$69-'Calc A'!Q$46+Q188</f>
        <v>1840.438265421619</v>
      </c>
      <c r="R190" s="40">
        <f>'Calc A'!R$69-'Calc A'!R$46+R188</f>
        <v>2136.5150137317937</v>
      </c>
      <c r="S190" s="40">
        <f>'Calc A'!S$69-'Calc A'!S$46+S188</f>
        <v>2446.3244542026932</v>
      </c>
      <c r="T190" s="40">
        <f>'Calc A'!T$69-'Calc A'!T$46+T188</f>
        <v>2770.5871698730753</v>
      </c>
      <c r="U190" s="40">
        <f>'Calc A'!U$69-'Calc A'!U$46+U188</f>
        <v>3110.0646045701042</v>
      </c>
      <c r="V190" s="40">
        <f>'Calc A'!V$69-'Calc A'!V$46+V188</f>
        <v>3455.181874865737</v>
      </c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7"/>
    </row>
    <row r="191" spans="1:33" outlineLevel="1">
      <c r="A191" s="19"/>
      <c r="B191" s="7" t="s">
        <v>27</v>
      </c>
      <c r="C191" s="40">
        <f>C190</f>
        <v>-1333.8866666666663</v>
      </c>
      <c r="D191" s="40">
        <f t="shared" ref="D191:V191" si="78">C191+D190</f>
        <v>-2565.2328026666664</v>
      </c>
      <c r="E191" s="40">
        <f t="shared" si="78"/>
        <v>-3682.8672074225055</v>
      </c>
      <c r="F191" s="40">
        <f t="shared" si="78"/>
        <v>-4644.3597280581844</v>
      </c>
      <c r="G191" s="40">
        <f t="shared" si="78"/>
        <v>-5377.2596931069584</v>
      </c>
      <c r="H191" s="40">
        <f t="shared" si="78"/>
        <v>-5871.6113986963255</v>
      </c>
      <c r="I191" s="40">
        <f t="shared" si="78"/>
        <v>-6116.960119605299</v>
      </c>
      <c r="J191" s="40">
        <f t="shared" si="78"/>
        <v>-6102.3245580256043</v>
      </c>
      <c r="K191" s="40">
        <f>J191+K190</f>
        <v>-5816.1676857936145</v>
      </c>
      <c r="L191" s="40">
        <f t="shared" si="78"/>
        <v>-5272.7593360014507</v>
      </c>
      <c r="M191" s="40">
        <f t="shared" si="78"/>
        <v>-4492.4066722316002</v>
      </c>
      <c r="N191" s="40">
        <f t="shared" si="78"/>
        <v>-3464.4423545193968</v>
      </c>
      <c r="O191" s="40">
        <f t="shared" si="78"/>
        <v>-2177.6510753955272</v>
      </c>
      <c r="P191" s="40">
        <f t="shared" si="78"/>
        <v>-620.23886627219144</v>
      </c>
      <c r="Q191" s="40">
        <f t="shared" si="78"/>
        <v>1220.1993991494276</v>
      </c>
      <c r="R191" s="40">
        <f t="shared" si="78"/>
        <v>3356.7144128812215</v>
      </c>
      <c r="S191" s="40">
        <f t="shared" si="78"/>
        <v>5803.0388670839147</v>
      </c>
      <c r="T191" s="40">
        <f t="shared" si="78"/>
        <v>8573.62603695699</v>
      </c>
      <c r="U191" s="40">
        <f t="shared" si="78"/>
        <v>11683.690641527093</v>
      </c>
      <c r="V191" s="41">
        <f t="shared" si="78"/>
        <v>15138.87251639283</v>
      </c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7"/>
    </row>
    <row r="192" spans="1:33" outlineLevel="1">
      <c r="A192" s="19"/>
      <c r="B192" s="42">
        <v>-0.3</v>
      </c>
      <c r="C192" s="43" t="e">
        <f ca="1">MATCH(B190,C191:V191)&amp;"Año "&amp;ROUND(((B190-SUM(OFFSET(B190,0,1,1,MATCH(B190,C191:V191))))/OFFSET(B190,0,MATCH(B190,C191:V191)+1))*12,0)&amp;" Meses"</f>
        <v>#DIV/0!</v>
      </c>
      <c r="D192" s="44" t="e">
        <f ca="1">(MATCH(B190,C191:V191))+(ROUND(((B190-SUM(OFFSET(B190,0,1,1,MATCH(B190,C191:V191))))/OFFSET(B190,0,MATCH(B190,C191:V191)+1))*12,0)/10)*10/12</f>
        <v>#DIV/0!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21"/>
      <c r="W192" s="7"/>
      <c r="X192" s="7"/>
      <c r="Y192" s="7"/>
      <c r="Z192" s="7"/>
      <c r="AA192" s="7"/>
      <c r="AB192" s="7"/>
      <c r="AC192" s="7"/>
      <c r="AD192" s="7"/>
      <c r="AE192" s="7"/>
      <c r="AF192" s="7"/>
    </row>
    <row r="193" spans="1:35" outlineLevel="1">
      <c r="A193" s="19"/>
      <c r="B193" s="34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21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H193" s="7"/>
    </row>
    <row r="194" spans="1:35">
      <c r="A194" s="19"/>
      <c r="B194" s="7"/>
      <c r="C194" s="7" t="s">
        <v>29</v>
      </c>
      <c r="D194" s="7"/>
      <c r="E194" s="7"/>
      <c r="F194" s="3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21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H194" s="7"/>
      <c r="AI194" s="7"/>
    </row>
    <row r="195" spans="1:35">
      <c r="A195" s="37">
        <v>-0.2</v>
      </c>
      <c r="B195" s="6">
        <f>(1+A195)*'Calc A'!$B$46</f>
        <v>-976</v>
      </c>
      <c r="C195" s="6">
        <f t="shared" ref="C195:V195" si="79">IF($B$9&lt;C$41,"",B195*(1+$B$7))</f>
        <v>-1005.28</v>
      </c>
      <c r="D195" s="6">
        <f t="shared" si="79"/>
        <v>-1035.4384</v>
      </c>
      <c r="E195" s="6">
        <f t="shared" si="79"/>
        <v>-1066.5015519999999</v>
      </c>
      <c r="F195" s="6">
        <f t="shared" si="79"/>
        <v>-1098.4965985599999</v>
      </c>
      <c r="G195" s="6">
        <f t="shared" si="79"/>
        <v>-1131.4514965168</v>
      </c>
      <c r="H195" s="6">
        <f t="shared" si="79"/>
        <v>-1165.395041412304</v>
      </c>
      <c r="I195" s="6">
        <f t="shared" si="79"/>
        <v>-1200.3568926546732</v>
      </c>
      <c r="J195" s="6">
        <f t="shared" si="79"/>
        <v>-1236.3675994343134</v>
      </c>
      <c r="K195" s="6">
        <f t="shared" si="79"/>
        <v>-1273.4586274173428</v>
      </c>
      <c r="L195" s="6">
        <f t="shared" si="79"/>
        <v>-1311.6623862398631</v>
      </c>
      <c r="M195" s="6">
        <f t="shared" si="79"/>
        <v>-1351.0122578270589</v>
      </c>
      <c r="N195" s="6">
        <f t="shared" si="79"/>
        <v>-1391.5426255618706</v>
      </c>
      <c r="O195" s="6">
        <f t="shared" si="79"/>
        <v>-1433.2889043287269</v>
      </c>
      <c r="P195" s="6">
        <f t="shared" si="79"/>
        <v>-1476.2875714585887</v>
      </c>
      <c r="Q195" s="6">
        <f t="shared" si="79"/>
        <v>-1520.5761986023463</v>
      </c>
      <c r="R195" s="6">
        <f t="shared" si="79"/>
        <v>-1566.1934845604167</v>
      </c>
      <c r="S195" s="6">
        <f t="shared" si="79"/>
        <v>-1613.1792890972292</v>
      </c>
      <c r="T195" s="6">
        <f t="shared" si="79"/>
        <v>-1661.5746677701461</v>
      </c>
      <c r="U195" s="6">
        <f t="shared" si="79"/>
        <v>-1711.4219078032506</v>
      </c>
      <c r="V195" s="6">
        <f t="shared" si="79"/>
        <v>-1762.7645650373481</v>
      </c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H195" s="7"/>
      <c r="AI195" s="7"/>
    </row>
    <row r="196" spans="1:35" outlineLevel="1">
      <c r="A196" s="19"/>
      <c r="B196" s="7"/>
      <c r="C196" s="7" t="s">
        <v>28</v>
      </c>
      <c r="D196" s="7"/>
      <c r="E196" s="7"/>
      <c r="F196" s="7"/>
      <c r="G196" s="7"/>
      <c r="H196" s="39"/>
      <c r="I196" s="39"/>
      <c r="J196" s="39"/>
      <c r="K196" s="39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21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H196" s="7"/>
      <c r="AI196" s="7"/>
    </row>
    <row r="197" spans="1:35" outlineLevel="1">
      <c r="A197" s="19"/>
      <c r="B197" s="7">
        <f>B190</f>
        <v>61000</v>
      </c>
      <c r="C197" s="40">
        <f>'Calc A'!C$69-'Calc A'!C$46+C195</f>
        <v>-1459.5466666666664</v>
      </c>
      <c r="D197" s="40">
        <f>'Calc A'!D$69-'Calc A'!D$46+D195</f>
        <v>-1360.7759360000002</v>
      </c>
      <c r="E197" s="40">
        <f>'Calc A'!E$69-'Calc A'!E$46+E195</f>
        <v>-1250.9470987558391</v>
      </c>
      <c r="F197" s="40">
        <f>'Calc A'!F$69-'Calc A'!F$46+F195</f>
        <v>-1098.8045954556787</v>
      </c>
      <c r="G197" s="40">
        <f>'Calc A'!G$69-'Calc A'!G$46+G195</f>
        <v>-874.33140211337377</v>
      </c>
      <c r="H197" s="40">
        <f>'Calc A'!H$69-'Calc A'!H$46+H195</f>
        <v>-640.02608576590524</v>
      </c>
      <c r="I197" s="40">
        <f>'Calc A'!I$69-'Calc A'!I$46+I195</f>
        <v>-395.39333249080778</v>
      </c>
      <c r="J197" s="40">
        <f>'Calc A'!J$69-'Calc A'!J$46+J195</f>
        <v>-139.91038834959477</v>
      </c>
      <c r="K197" s="40">
        <f>'Calc A'!K$69-'Calc A'!K$46+K195</f>
        <v>126.97454380482259</v>
      </c>
      <c r="L197" s="40">
        <f>'Calc A'!L$69-'Calc A'!L$46+L195</f>
        <v>379.45055151218185</v>
      </c>
      <c r="M197" s="40">
        <f>'Calc A'!M$69-'Calc A'!M$46+M195</f>
        <v>611.47613154146893</v>
      </c>
      <c r="N197" s="40">
        <f>'Calc A'!N$69-'Calc A'!N$46+N195</f>
        <v>854.02148951696995</v>
      </c>
      <c r="O197" s="40">
        <f>'Calc A'!O$69-'Calc A'!O$46+O195</f>
        <v>1107.6301660827794</v>
      </c>
      <c r="P197" s="40">
        <f>'Calc A'!P$69-'Calc A'!P$46+P195</f>
        <v>1372.8762626910127</v>
      </c>
      <c r="Q197" s="40">
        <f>'Calc A'!Q$69-'Calc A'!Q$46+Q195</f>
        <v>1650.3662405963264</v>
      </c>
      <c r="R197" s="40">
        <f>'Calc A'!R$69-'Calc A'!R$46+R195</f>
        <v>1940.7408281617425</v>
      </c>
      <c r="S197" s="40">
        <f>'Calc A'!S$69-'Calc A'!S$46+S195</f>
        <v>2244.6770430655406</v>
      </c>
      <c r="T197" s="40">
        <f>'Calc A'!T$69-'Calc A'!T$46+T195</f>
        <v>2562.8903364018079</v>
      </c>
      <c r="U197" s="40">
        <f>'Calc A'!U$69-'Calc A'!U$46+U195</f>
        <v>2896.1368660946987</v>
      </c>
      <c r="V197" s="40">
        <f>'Calc A'!V$69-'Calc A'!V$46+V195</f>
        <v>3234.8363042360697</v>
      </c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H197" s="7"/>
      <c r="AI197" s="7"/>
    </row>
    <row r="198" spans="1:35" outlineLevel="1">
      <c r="A198" s="19"/>
      <c r="B198" s="7" t="s">
        <v>27</v>
      </c>
      <c r="C198" s="40">
        <f>C197</f>
        <v>-1459.5466666666664</v>
      </c>
      <c r="D198" s="40">
        <f t="shared" ref="D198:V198" si="80">C198+D197</f>
        <v>-2820.3226026666666</v>
      </c>
      <c r="E198" s="40">
        <f t="shared" si="80"/>
        <v>-4071.2697014225059</v>
      </c>
      <c r="F198" s="40">
        <f t="shared" si="80"/>
        <v>-5170.0742968781851</v>
      </c>
      <c r="G198" s="40">
        <f t="shared" si="80"/>
        <v>-6044.4056989915589</v>
      </c>
      <c r="H198" s="40">
        <f t="shared" si="80"/>
        <v>-6684.4317847574639</v>
      </c>
      <c r="I198" s="40">
        <f t="shared" si="80"/>
        <v>-7079.8251172482715</v>
      </c>
      <c r="J198" s="40">
        <f t="shared" si="80"/>
        <v>-7219.735505597866</v>
      </c>
      <c r="K198" s="40">
        <f>J198+K197</f>
        <v>-7092.760961793043</v>
      </c>
      <c r="L198" s="40">
        <f t="shared" si="80"/>
        <v>-6713.3104102808611</v>
      </c>
      <c r="M198" s="40">
        <f t="shared" si="80"/>
        <v>-6101.8342787393922</v>
      </c>
      <c r="N198" s="40">
        <f t="shared" si="80"/>
        <v>-5247.812789222422</v>
      </c>
      <c r="O198" s="40">
        <f t="shared" si="80"/>
        <v>-4140.1826231396426</v>
      </c>
      <c r="P198" s="40">
        <f t="shared" si="80"/>
        <v>-2767.3063604486297</v>
      </c>
      <c r="Q198" s="40">
        <f t="shared" si="80"/>
        <v>-1116.9401198523033</v>
      </c>
      <c r="R198" s="40">
        <f t="shared" si="80"/>
        <v>823.80070830943919</v>
      </c>
      <c r="S198" s="40">
        <f t="shared" si="80"/>
        <v>3068.4777513749796</v>
      </c>
      <c r="T198" s="40">
        <f t="shared" si="80"/>
        <v>5631.3680877767874</v>
      </c>
      <c r="U198" s="40">
        <f t="shared" si="80"/>
        <v>8527.5049538714866</v>
      </c>
      <c r="V198" s="41">
        <f t="shared" si="80"/>
        <v>11762.341258107557</v>
      </c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H198" s="7"/>
      <c r="AI198" s="7"/>
    </row>
    <row r="199" spans="1:35" outlineLevel="1">
      <c r="A199" s="19"/>
      <c r="B199" s="42">
        <v>-0.2</v>
      </c>
      <c r="C199" s="43" t="e">
        <f ca="1">MATCH(B197,C198:V198)&amp;" Años "&amp;ROUND(((B197-SUM(OFFSET(B197,0,1,1,MATCH(B197,C198:V198))))/OFFSET(B197,0,MATCH(B197,C198:V198)+1))*12,0)&amp;" Meses"</f>
        <v>#DIV/0!</v>
      </c>
      <c r="D199" s="44" t="e">
        <f ca="1">(MATCH(B197,C198:V198))+(ROUND(((B197-SUM(OFFSET(B197,0,1,1,MATCH(B197,C198:V198))))/OFFSET(B197,0,MATCH(B197,C198:V198)+1))*12,0)/10)*10/12</f>
        <v>#DIV/0!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21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H199" s="7"/>
      <c r="AI199" s="7"/>
    </row>
    <row r="200" spans="1:35" outlineLevel="1">
      <c r="A200" s="19"/>
      <c r="B200" s="7"/>
      <c r="C200" s="7"/>
      <c r="D200" s="7"/>
      <c r="E200" s="7"/>
      <c r="F200" s="36"/>
      <c r="G200" s="34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21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H200" s="7"/>
      <c r="AI200" s="7"/>
    </row>
    <row r="201" spans="1:35" outlineLevel="1">
      <c r="A201" s="19"/>
      <c r="B201" s="7"/>
      <c r="C201" s="7" t="s">
        <v>29</v>
      </c>
      <c r="D201" s="7"/>
      <c r="E201" s="7"/>
      <c r="F201" s="3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21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I201" s="7"/>
    </row>
    <row r="202" spans="1:35" outlineLevel="1">
      <c r="A202" s="37">
        <v>-0.1</v>
      </c>
      <c r="B202" s="6">
        <f>(1+A202)*'Calc A'!$B$46</f>
        <v>-1098</v>
      </c>
      <c r="C202" s="6">
        <f t="shared" ref="C202:V202" si="81">IF($B$9&lt;C$41,"",B202*(1+$B$7))</f>
        <v>-1130.94</v>
      </c>
      <c r="D202" s="6">
        <f t="shared" si="81"/>
        <v>-1164.8682000000001</v>
      </c>
      <c r="E202" s="6">
        <f t="shared" si="81"/>
        <v>-1199.8142460000001</v>
      </c>
      <c r="F202" s="6">
        <f t="shared" si="81"/>
        <v>-1235.8086733800001</v>
      </c>
      <c r="G202" s="6">
        <f t="shared" si="81"/>
        <v>-1272.8829335814</v>
      </c>
      <c r="H202" s="6">
        <f t="shared" si="81"/>
        <v>-1311.069421588842</v>
      </c>
      <c r="I202" s="6">
        <f t="shared" si="81"/>
        <v>-1350.4015042365074</v>
      </c>
      <c r="J202" s="6">
        <f t="shared" si="81"/>
        <v>-1390.9135493636027</v>
      </c>
      <c r="K202" s="6">
        <f t="shared" si="81"/>
        <v>-1432.6409558445107</v>
      </c>
      <c r="L202" s="6">
        <f t="shared" si="81"/>
        <v>-1475.6201845198461</v>
      </c>
      <c r="M202" s="6">
        <f t="shared" si="81"/>
        <v>-1519.8887900554416</v>
      </c>
      <c r="N202" s="6">
        <f t="shared" si="81"/>
        <v>-1565.485453757105</v>
      </c>
      <c r="O202" s="6">
        <f t="shared" si="81"/>
        <v>-1612.4500173698182</v>
      </c>
      <c r="P202" s="6">
        <f t="shared" si="81"/>
        <v>-1660.8235178909129</v>
      </c>
      <c r="Q202" s="6">
        <f t="shared" si="81"/>
        <v>-1710.6482234276402</v>
      </c>
      <c r="R202" s="6">
        <f t="shared" si="81"/>
        <v>-1761.9676701304695</v>
      </c>
      <c r="S202" s="6">
        <f t="shared" si="81"/>
        <v>-1814.8267002343837</v>
      </c>
      <c r="T202" s="6">
        <f t="shared" si="81"/>
        <v>-1869.2715012414153</v>
      </c>
      <c r="U202" s="6">
        <f t="shared" si="81"/>
        <v>-1925.3496462786579</v>
      </c>
      <c r="V202" s="6">
        <f t="shared" si="81"/>
        <v>-1983.1101356670176</v>
      </c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5" outlineLevel="1">
      <c r="A203" s="19"/>
      <c r="B203" s="7"/>
      <c r="C203" s="7" t="s">
        <v>28</v>
      </c>
      <c r="D203" s="7"/>
      <c r="E203" s="7"/>
      <c r="F203" s="7"/>
      <c r="G203" s="7"/>
      <c r="H203" s="39"/>
      <c r="I203" s="39"/>
      <c r="J203" s="39"/>
      <c r="K203" s="39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21"/>
      <c r="W203" s="7"/>
      <c r="X203" s="7"/>
      <c r="Y203" s="7"/>
      <c r="Z203" s="7"/>
      <c r="AA203" s="7"/>
      <c r="AB203" s="7"/>
      <c r="AC203" s="7"/>
      <c r="AD203" s="7"/>
      <c r="AE203" s="7"/>
      <c r="AF203" s="7"/>
    </row>
    <row r="204" spans="1:35" outlineLevel="1">
      <c r="A204" s="19"/>
      <c r="B204" s="45">
        <f>B190</f>
        <v>61000</v>
      </c>
      <c r="C204" s="40">
        <f>'Calc A'!C$69-'Calc A'!C$46+C202</f>
        <v>-1585.2066666666665</v>
      </c>
      <c r="D204" s="40">
        <f>'Calc A'!D$69-'Calc A'!D$46+D202</f>
        <v>-1490.2057360000003</v>
      </c>
      <c r="E204" s="40">
        <f>'Calc A'!E$69-'Calc A'!E$46+E202</f>
        <v>-1384.2597927558393</v>
      </c>
      <c r="F204" s="40">
        <f>'Calc A'!F$69-'Calc A'!F$46+F202</f>
        <v>-1236.1166702756789</v>
      </c>
      <c r="G204" s="40">
        <f>'Calc A'!G$69-'Calc A'!G$46+G202</f>
        <v>-1015.7628391779738</v>
      </c>
      <c r="H204" s="40">
        <f>'Calc A'!H$69-'Calc A'!H$46+H202</f>
        <v>-785.70046594244332</v>
      </c>
      <c r="I204" s="40">
        <f>'Calc A'!I$69-'Calc A'!I$46+I202</f>
        <v>-545.43794407264204</v>
      </c>
      <c r="J204" s="40">
        <f>'Calc A'!J$69-'Calc A'!J$46+J202</f>
        <v>-294.456338278884</v>
      </c>
      <c r="K204" s="40">
        <f>'Calc A'!K$69-'Calc A'!K$46+K202</f>
        <v>-32.207784622345343</v>
      </c>
      <c r="L204" s="40">
        <f>'Calc A'!L$69-'Calc A'!L$46+L202</f>
        <v>215.49275323219877</v>
      </c>
      <c r="M204" s="40">
        <f>'Calc A'!M$69-'Calc A'!M$46+M202</f>
        <v>442.59959931308617</v>
      </c>
      <c r="N204" s="40">
        <f>'Calc A'!N$69-'Calc A'!N$46+N202</f>
        <v>680.07866132173558</v>
      </c>
      <c r="O204" s="40">
        <f>'Calc A'!O$69-'Calc A'!O$46+O202</f>
        <v>928.46905304168808</v>
      </c>
      <c r="P204" s="40">
        <f>'Calc A'!P$69-'Calc A'!P$46+P202</f>
        <v>1188.3403162586885</v>
      </c>
      <c r="Q204" s="40">
        <f>'Calc A'!Q$69-'Calc A'!Q$46+Q202</f>
        <v>1460.2942157710324</v>
      </c>
      <c r="R204" s="40">
        <f>'Calc A'!R$69-'Calc A'!R$46+R202</f>
        <v>1744.9666425916896</v>
      </c>
      <c r="S204" s="40">
        <f>'Calc A'!S$69-'Calc A'!S$46+S202</f>
        <v>2043.0296319283862</v>
      </c>
      <c r="T204" s="40">
        <f>'Calc A'!T$69-'Calc A'!T$46+T202</f>
        <v>2355.1935029305387</v>
      </c>
      <c r="U204" s="40">
        <f>'Calc A'!U$69-'Calc A'!U$46+U202</f>
        <v>2682.2091276192914</v>
      </c>
      <c r="V204" s="40">
        <f>'Calc A'!V$69-'Calc A'!V$46+V202</f>
        <v>3014.4907336063998</v>
      </c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</row>
    <row r="205" spans="1:35" outlineLevel="1">
      <c r="A205" s="19"/>
      <c r="B205" s="7" t="s">
        <v>27</v>
      </c>
      <c r="C205" s="40">
        <f>C204</f>
        <v>-1585.2066666666665</v>
      </c>
      <c r="D205" s="40">
        <f t="shared" ref="D205:V205" si="82">C205+D204</f>
        <v>-3075.4124026666668</v>
      </c>
      <c r="E205" s="40">
        <f t="shared" si="82"/>
        <v>-4459.6721954225059</v>
      </c>
      <c r="F205" s="40">
        <f t="shared" si="82"/>
        <v>-5695.788865698185</v>
      </c>
      <c r="G205" s="40">
        <f t="shared" si="82"/>
        <v>-6711.5517048761585</v>
      </c>
      <c r="H205" s="40">
        <f t="shared" si="82"/>
        <v>-7497.2521708186014</v>
      </c>
      <c r="I205" s="40">
        <f t="shared" si="82"/>
        <v>-8042.6901148912439</v>
      </c>
      <c r="J205" s="40">
        <f t="shared" si="82"/>
        <v>-8337.1464531701276</v>
      </c>
      <c r="K205" s="40">
        <f>J205+K204</f>
        <v>-8369.3542377924732</v>
      </c>
      <c r="L205" s="40">
        <f t="shared" si="82"/>
        <v>-8153.8614845602742</v>
      </c>
      <c r="M205" s="40">
        <f t="shared" si="82"/>
        <v>-7711.2618852471878</v>
      </c>
      <c r="N205" s="40">
        <f t="shared" si="82"/>
        <v>-7031.1832239254527</v>
      </c>
      <c r="O205" s="40">
        <f t="shared" si="82"/>
        <v>-6102.7141708837644</v>
      </c>
      <c r="P205" s="40">
        <f t="shared" si="82"/>
        <v>-4914.3738546250761</v>
      </c>
      <c r="Q205" s="40">
        <f t="shared" si="82"/>
        <v>-3454.0796388540439</v>
      </c>
      <c r="R205" s="40">
        <f t="shared" si="82"/>
        <v>-1709.1129962623543</v>
      </c>
      <c r="S205" s="40">
        <f t="shared" si="82"/>
        <v>333.91663566603188</v>
      </c>
      <c r="T205" s="40">
        <f t="shared" si="82"/>
        <v>2689.1101385965703</v>
      </c>
      <c r="U205" s="40">
        <f t="shared" si="82"/>
        <v>5371.3192662158617</v>
      </c>
      <c r="V205" s="41">
        <f t="shared" si="82"/>
        <v>8385.8099998222606</v>
      </c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</row>
    <row r="206" spans="1:35" outlineLevel="1">
      <c r="A206" s="19"/>
      <c r="B206" s="42">
        <v>-0.1</v>
      </c>
      <c r="C206" s="43" t="e">
        <f ca="1">MATCH(B204,C205:V205)&amp;" Años "&amp;ROUND(((B204-SUM(OFFSET(B204,0,1,1,MATCH(B204,C205:V205))))/OFFSET(B204,0,MATCH(B204,C205:V205)+1))*12,0)&amp;" Meses"</f>
        <v>#DIV/0!</v>
      </c>
      <c r="D206" s="49" t="e">
        <f ca="1">(MATCH(B204,C205:V205))+(ROUND(((B204-SUM(OFFSET(B204,0,1,1,MATCH(B204,C205:V205))))/OFFSET(B204,0,MATCH(B204,C205:V205)+1))*12,0)/10)*10/12</f>
        <v>#DIV/0!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21"/>
      <c r="W206" s="7"/>
      <c r="X206" s="7"/>
      <c r="Y206" s="7"/>
      <c r="Z206" s="7"/>
      <c r="AA206" s="7"/>
      <c r="AB206" s="7"/>
      <c r="AC206" s="7"/>
      <c r="AD206" s="7"/>
      <c r="AE206" s="7"/>
      <c r="AF206" s="7"/>
    </row>
    <row r="207" spans="1:35" outlineLevel="1">
      <c r="A207" s="19"/>
      <c r="B207" s="42"/>
      <c r="C207" s="43"/>
      <c r="D207" s="49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21"/>
      <c r="W207" s="7"/>
      <c r="X207" s="7"/>
      <c r="Y207" s="7"/>
      <c r="Z207" s="7"/>
      <c r="AA207" s="7"/>
      <c r="AB207" s="7"/>
      <c r="AC207" s="7"/>
      <c r="AD207" s="7"/>
      <c r="AE207" s="7"/>
      <c r="AF207" s="7"/>
    </row>
    <row r="208" spans="1:35" outlineLevel="1">
      <c r="A208" s="19"/>
      <c r="B208" s="7">
        <f>B190</f>
        <v>61000</v>
      </c>
      <c r="C208" s="40">
        <f>'Calc A'!C$69</f>
        <v>-1674.2666666666664</v>
      </c>
      <c r="D208" s="40">
        <f>'Calc A'!D$69</f>
        <v>-1581.9375360000004</v>
      </c>
      <c r="E208" s="40">
        <f>'Calc A'!E$69</f>
        <v>-1478.7435467558394</v>
      </c>
      <c r="F208" s="40">
        <f>'Calc A'!F$69</f>
        <v>-1333.4349368956791</v>
      </c>
      <c r="G208" s="40">
        <f>'Calc A'!G$69</f>
        <v>-1116.0006537965742</v>
      </c>
      <c r="H208" s="40">
        <f>'Calc A'!H$69</f>
        <v>-888.94541499960178</v>
      </c>
      <c r="I208" s="40">
        <f>'Calc A'!I$69</f>
        <v>-651.78024160151517</v>
      </c>
      <c r="J208" s="40">
        <f>'Calc A'!J$69</f>
        <v>-403.98890473362326</v>
      </c>
      <c r="K208" s="40">
        <f>'Calc A'!K$69</f>
        <v>-145.02632807072678</v>
      </c>
      <c r="L208" s="40">
        <f>'Calc A'!L$69</f>
        <v>99.289653480366098</v>
      </c>
      <c r="M208" s="40">
        <f>'Calc A'!M$69</f>
        <v>322.91040656869848</v>
      </c>
      <c r="N208" s="40">
        <f>'Calc A'!N$69</f>
        <v>556.79879279501654</v>
      </c>
      <c r="O208" s="40">
        <f>'Calc A'!O$69</f>
        <v>801.49078845916722</v>
      </c>
      <c r="P208" s="40">
        <f>'Calc A'!P$69</f>
        <v>1057.5527037386923</v>
      </c>
      <c r="Q208" s="40">
        <f>'Calc A'!Q$69</f>
        <v>1325.5829748754363</v>
      </c>
      <c r="R208" s="40">
        <f>'Calc A'!R$69</f>
        <v>1606.2140644692254</v>
      </c>
      <c r="S208" s="40">
        <f>'Calc A'!S$69</f>
        <v>1900.1144764622481</v>
      </c>
      <c r="T208" s="40">
        <f>'Calc A'!T$69</f>
        <v>2207.990892800417</v>
      </c>
      <c r="U208" s="40">
        <f>'Calc A'!U$69</f>
        <v>2530.5904391852655</v>
      </c>
      <c r="V208" s="40">
        <f>'Calc A'!V$69</f>
        <v>2858.3234845193529</v>
      </c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</row>
    <row r="209" spans="1:32" outlineLevel="1">
      <c r="A209" s="19"/>
      <c r="B209" s="7"/>
      <c r="C209" s="40">
        <f>C208</f>
        <v>-1674.2666666666664</v>
      </c>
      <c r="D209" s="40">
        <f>C209+D208</f>
        <v>-3256.2042026666668</v>
      </c>
      <c r="E209" s="40">
        <f t="shared" ref="E209:V209" si="83">D209+E208</f>
        <v>-4734.9477494225066</v>
      </c>
      <c r="F209" s="40">
        <f t="shared" si="83"/>
        <v>-6068.3826863181857</v>
      </c>
      <c r="G209" s="40">
        <f t="shared" si="83"/>
        <v>-7184.3833401147604</v>
      </c>
      <c r="H209" s="40">
        <f t="shared" si="83"/>
        <v>-8073.3287551143621</v>
      </c>
      <c r="I209" s="40">
        <f t="shared" si="83"/>
        <v>-8725.1089967158769</v>
      </c>
      <c r="J209" s="40">
        <f t="shared" si="83"/>
        <v>-9129.0979014495006</v>
      </c>
      <c r="K209" s="40">
        <f t="shared" si="83"/>
        <v>-9274.1242295202283</v>
      </c>
      <c r="L209" s="40">
        <f t="shared" si="83"/>
        <v>-9174.8345760398624</v>
      </c>
      <c r="M209" s="40">
        <f t="shared" si="83"/>
        <v>-8851.9241694711636</v>
      </c>
      <c r="N209" s="40">
        <f t="shared" si="83"/>
        <v>-8295.1253766761474</v>
      </c>
      <c r="O209" s="40">
        <f t="shared" si="83"/>
        <v>-7493.6345882169799</v>
      </c>
      <c r="P209" s="40">
        <f t="shared" si="83"/>
        <v>-6436.081884478288</v>
      </c>
      <c r="Q209" s="40">
        <f t="shared" si="83"/>
        <v>-5110.4989096028512</v>
      </c>
      <c r="R209" s="40">
        <f t="shared" si="83"/>
        <v>-3504.2848451336258</v>
      </c>
      <c r="S209" s="40">
        <f t="shared" si="83"/>
        <v>-1604.1703686713777</v>
      </c>
      <c r="T209" s="40">
        <f t="shared" si="83"/>
        <v>603.82052412903931</v>
      </c>
      <c r="U209" s="40">
        <f t="shared" si="83"/>
        <v>3134.4109633143048</v>
      </c>
      <c r="V209" s="40">
        <f t="shared" si="83"/>
        <v>5992.7344478336581</v>
      </c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</row>
    <row r="210" spans="1:32" outlineLevel="1">
      <c r="A210" s="37">
        <v>0</v>
      </c>
      <c r="B210" s="42">
        <v>0</v>
      </c>
      <c r="C210" s="43" t="e">
        <f ca="1">MATCH(B208,C209:V209)&amp;" Años "&amp;ROUND(((B208-SUM(OFFSET(B208,0,1,1,MATCH(B208,C209:V209))))/OFFSET(B208,0,MATCH(B208,C209:V209)+1))*12,0)&amp;" Meses"</f>
        <v>#DIV/0!</v>
      </c>
      <c r="D210" s="49" t="e">
        <f ca="1">(MATCH(B208,C209:V209))+(ROUND(((B208-SUM(OFFSET(B208,0,1,1,MATCH(B208,C209:V209))))/OFFSET(B208,0,MATCH(B208,C209:V209)+1))*12,0)/10)*10/12</f>
        <v>#DIV/0!</v>
      </c>
      <c r="E210" s="7"/>
      <c r="F210" s="4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21"/>
      <c r="W210" s="7"/>
      <c r="X210" s="7"/>
      <c r="Y210" s="7"/>
      <c r="Z210" s="7"/>
      <c r="AA210" s="7"/>
      <c r="AB210" s="7"/>
      <c r="AC210" s="7"/>
      <c r="AD210" s="7"/>
      <c r="AE210" s="7"/>
      <c r="AF210" s="7"/>
    </row>
    <row r="211" spans="1:32" outlineLevel="1">
      <c r="A211" s="19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21"/>
      <c r="W211" s="7"/>
      <c r="X211" s="7"/>
      <c r="Y211" s="7"/>
      <c r="Z211" s="7"/>
      <c r="AA211" s="7"/>
      <c r="AB211" s="7"/>
      <c r="AC211" s="7"/>
      <c r="AD211" s="7"/>
      <c r="AE211" s="7"/>
      <c r="AF211" s="7"/>
    </row>
    <row r="212" spans="1:32" outlineLevel="1">
      <c r="A212" s="19"/>
      <c r="B212" s="7"/>
      <c r="C212" s="7" t="s">
        <v>29</v>
      </c>
      <c r="D212" s="7"/>
      <c r="E212" s="7"/>
      <c r="F212" s="3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21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 spans="1:32" outlineLevel="1">
      <c r="A213" s="37">
        <v>0.1</v>
      </c>
      <c r="B213" s="6">
        <f>(1+A213)*'Calc A'!$B$46</f>
        <v>-1342</v>
      </c>
      <c r="C213" s="6">
        <f t="shared" ref="C213:V213" si="84">IF($B$9&lt;C$41,"",B213*(1+$B$7))</f>
        <v>-1382.26</v>
      </c>
      <c r="D213" s="6">
        <f t="shared" si="84"/>
        <v>-1423.7278000000001</v>
      </c>
      <c r="E213" s="6">
        <f t="shared" si="84"/>
        <v>-1466.4396340000001</v>
      </c>
      <c r="F213" s="6">
        <f t="shared" si="84"/>
        <v>-1510.4328230200001</v>
      </c>
      <c r="G213" s="6">
        <f t="shared" si="84"/>
        <v>-1555.7458077106</v>
      </c>
      <c r="H213" s="6">
        <f t="shared" si="84"/>
        <v>-1602.4181819419182</v>
      </c>
      <c r="I213" s="6">
        <f t="shared" si="84"/>
        <v>-1650.4907274001757</v>
      </c>
      <c r="J213" s="6">
        <f t="shared" si="84"/>
        <v>-1700.0054492221811</v>
      </c>
      <c r="K213" s="6">
        <f t="shared" si="84"/>
        <v>-1751.0056126988466</v>
      </c>
      <c r="L213" s="6">
        <f t="shared" si="84"/>
        <v>-1803.5357810798121</v>
      </c>
      <c r="M213" s="6">
        <f t="shared" si="84"/>
        <v>-1857.6418545122065</v>
      </c>
      <c r="N213" s="6">
        <f t="shared" si="84"/>
        <v>-1913.3711101475726</v>
      </c>
      <c r="O213" s="6">
        <f t="shared" si="84"/>
        <v>-1970.7722434519999</v>
      </c>
      <c r="P213" s="6">
        <f t="shared" si="84"/>
        <v>-2029.8954107555599</v>
      </c>
      <c r="Q213" s="6">
        <f t="shared" si="84"/>
        <v>-2090.7922730782266</v>
      </c>
      <c r="R213" s="6">
        <f t="shared" si="84"/>
        <v>-2153.5160412705736</v>
      </c>
      <c r="S213" s="6">
        <f t="shared" si="84"/>
        <v>-2218.1215225086908</v>
      </c>
      <c r="T213" s="6">
        <f t="shared" si="84"/>
        <v>-2284.6651681839517</v>
      </c>
      <c r="U213" s="6">
        <f t="shared" si="84"/>
        <v>-2353.2051232294702</v>
      </c>
      <c r="V213" s="6">
        <f t="shared" si="84"/>
        <v>-2423.8012769263546</v>
      </c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outlineLevel="1">
      <c r="A214" s="19"/>
      <c r="B214" s="7"/>
      <c r="C214" s="7" t="s">
        <v>28</v>
      </c>
      <c r="D214" s="7"/>
      <c r="E214" s="7"/>
      <c r="F214" s="7"/>
      <c r="G214" s="7"/>
      <c r="H214" s="39"/>
      <c r="I214" s="39"/>
      <c r="J214" s="39"/>
      <c r="K214" s="39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21"/>
      <c r="W214" s="7"/>
      <c r="X214" s="7"/>
      <c r="Y214" s="7"/>
      <c r="Z214" s="7"/>
      <c r="AA214" s="7"/>
      <c r="AB214" s="7"/>
      <c r="AC214" s="7"/>
      <c r="AD214" s="7"/>
      <c r="AE214" s="7"/>
      <c r="AF214" s="7"/>
    </row>
    <row r="215" spans="1:32" outlineLevel="1">
      <c r="A215" s="19"/>
      <c r="B215" s="7">
        <f>B190</f>
        <v>61000</v>
      </c>
      <c r="C215" s="40">
        <f>'Calc A'!C$69-'Calc A'!C$46+C213</f>
        <v>-1836.5266666666664</v>
      </c>
      <c r="D215" s="40">
        <f>'Calc A'!D$69-'Calc A'!D$46+D213</f>
        <v>-1749.0653360000003</v>
      </c>
      <c r="E215" s="40">
        <f>'Calc A'!E$69-'Calc A'!E$46+E213</f>
        <v>-1650.8851807558392</v>
      </c>
      <c r="F215" s="40">
        <f>'Calc A'!F$69-'Calc A'!F$46+F213</f>
        <v>-1510.7408199156789</v>
      </c>
      <c r="G215" s="40">
        <f>'Calc A'!G$69-'Calc A'!G$46+G213</f>
        <v>-1298.6257133071738</v>
      </c>
      <c r="H215" s="40">
        <f>'Calc A'!H$69-'Calc A'!H$46+H213</f>
        <v>-1077.0492262955195</v>
      </c>
      <c r="I215" s="40">
        <f>'Calc A'!I$69-'Calc A'!I$46+I213</f>
        <v>-845.52716723631033</v>
      </c>
      <c r="J215" s="40">
        <f>'Calc A'!J$69-'Calc A'!J$46+J213</f>
        <v>-603.54823813746248</v>
      </c>
      <c r="K215" s="40">
        <f>'Calc A'!K$69-'Calc A'!K$46+K213</f>
        <v>-350.57244147668121</v>
      </c>
      <c r="L215" s="40">
        <f>'Calc A'!L$69-'Calc A'!L$46+L213</f>
        <v>-112.42284332776717</v>
      </c>
      <c r="M215" s="40">
        <f>'Calc A'!M$69-'Calc A'!M$46+M213</f>
        <v>104.84653485632134</v>
      </c>
      <c r="N215" s="40">
        <f>'Calc A'!N$69-'Calc A'!N$46+N213</f>
        <v>332.19300493126798</v>
      </c>
      <c r="O215" s="40">
        <f>'Calc A'!O$69-'Calc A'!O$46+O213</f>
        <v>570.14682695950637</v>
      </c>
      <c r="P215" s="40">
        <f>'Calc A'!P$69-'Calc A'!P$46+P213</f>
        <v>819.26842339404152</v>
      </c>
      <c r="Q215" s="40">
        <f>'Calc A'!Q$69-'Calc A'!Q$46+Q213</f>
        <v>1080.1501661204461</v>
      </c>
      <c r="R215" s="40">
        <f>'Calc A'!R$69-'Calc A'!R$46+R213</f>
        <v>1353.4182714515855</v>
      </c>
      <c r="S215" s="40">
        <f>'Calc A'!S$69-'Calc A'!S$46+S213</f>
        <v>1639.7348096540791</v>
      </c>
      <c r="T215" s="40">
        <f>'Calc A'!T$69-'Calc A'!T$46+T213</f>
        <v>1939.7998359880025</v>
      </c>
      <c r="U215" s="40">
        <f>'Calc A'!U$69-'Calc A'!U$46+U213</f>
        <v>2254.3536506684791</v>
      </c>
      <c r="V215" s="40">
        <f>'Calc A'!V$69-'Calc A'!V$46+V213</f>
        <v>2573.799592347063</v>
      </c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</row>
    <row r="216" spans="1:32" outlineLevel="1">
      <c r="A216" s="19"/>
      <c r="B216" s="7" t="s">
        <v>27</v>
      </c>
      <c r="C216" s="40">
        <f>C215</f>
        <v>-1836.5266666666664</v>
      </c>
      <c r="D216" s="40">
        <f t="shared" ref="D216:V216" si="85">C216+D215</f>
        <v>-3585.5920026666668</v>
      </c>
      <c r="E216" s="40">
        <f t="shared" si="85"/>
        <v>-5236.4771834225057</v>
      </c>
      <c r="F216" s="40">
        <f t="shared" si="85"/>
        <v>-6747.2180033381846</v>
      </c>
      <c r="G216" s="40">
        <f t="shared" si="85"/>
        <v>-8045.8437166453587</v>
      </c>
      <c r="H216" s="40">
        <f t="shared" si="85"/>
        <v>-9122.8929429408781</v>
      </c>
      <c r="I216" s="40">
        <f t="shared" si="85"/>
        <v>-9968.4201101771887</v>
      </c>
      <c r="J216" s="40">
        <f t="shared" si="85"/>
        <v>-10571.968348314651</v>
      </c>
      <c r="K216" s="40">
        <f>J216+K215</f>
        <v>-10922.540789791332</v>
      </c>
      <c r="L216" s="40">
        <f t="shared" si="85"/>
        <v>-11034.9636331191</v>
      </c>
      <c r="M216" s="40">
        <f t="shared" si="85"/>
        <v>-10930.117098262777</v>
      </c>
      <c r="N216" s="40">
        <f t="shared" si="85"/>
        <v>-10597.924093331509</v>
      </c>
      <c r="O216" s="40">
        <f t="shared" si="85"/>
        <v>-10027.777266372002</v>
      </c>
      <c r="P216" s="40">
        <f t="shared" si="85"/>
        <v>-9208.5088429779607</v>
      </c>
      <c r="Q216" s="40">
        <f t="shared" si="85"/>
        <v>-8128.3586768575151</v>
      </c>
      <c r="R216" s="40">
        <f t="shared" si="85"/>
        <v>-6774.9404054059296</v>
      </c>
      <c r="S216" s="40">
        <f t="shared" si="85"/>
        <v>-5135.2055957518505</v>
      </c>
      <c r="T216" s="40">
        <f t="shared" si="85"/>
        <v>-3195.405759763848</v>
      </c>
      <c r="U216" s="40">
        <f t="shared" si="85"/>
        <v>-941.05210909536891</v>
      </c>
      <c r="V216" s="41">
        <f t="shared" si="85"/>
        <v>1632.7474832516941</v>
      </c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</row>
    <row r="217" spans="1:32" outlineLevel="1">
      <c r="A217" s="19"/>
      <c r="B217" s="42">
        <v>0.1</v>
      </c>
      <c r="C217" s="43" t="e">
        <f ca="1">MATCH(B215,C216:V216)&amp;" Years "&amp;ROUND(((B215-SUM(OFFSET(B215,0,1,1,MATCH(B215,C216:V216))))/OFFSET(B215,0,MATCH(B215,C216:V216)+1))*12,0)&amp;" Months"</f>
        <v>#DIV/0!</v>
      </c>
      <c r="D217" s="50" t="e">
        <f ca="1">(MATCH(B215,C216:V216))+(ROUND(((B215-SUM(OFFSET(B215,0,1,1,MATCH(B215,C216:V216))))/OFFSET(B215,0,MATCH(B215,C216:V216)+1))*12,0)/10)*10/12</f>
        <v>#DIV/0!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21"/>
      <c r="W217" s="7"/>
      <c r="X217" s="7"/>
      <c r="Y217" s="7"/>
      <c r="Z217" s="7"/>
      <c r="AA217" s="7"/>
      <c r="AB217" s="7"/>
      <c r="AC217" s="7"/>
      <c r="AD217" s="7"/>
      <c r="AE217" s="7"/>
      <c r="AF217" s="7"/>
    </row>
    <row r="218" spans="1:32" outlineLevel="1">
      <c r="A218" s="19"/>
      <c r="B218" s="34"/>
      <c r="C218" s="7"/>
      <c r="D218" s="7"/>
      <c r="E218" s="7"/>
      <c r="F218" s="34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21"/>
      <c r="W218" s="7"/>
      <c r="X218" s="7"/>
      <c r="Y218" s="7"/>
      <c r="Z218" s="7"/>
      <c r="AA218" s="7"/>
      <c r="AB218" s="7"/>
      <c r="AC218" s="7"/>
      <c r="AD218" s="7"/>
      <c r="AE218" s="7"/>
      <c r="AF218" s="7"/>
    </row>
    <row r="219" spans="1:32" outlineLevel="1">
      <c r="A219" s="19"/>
      <c r="B219" s="7"/>
      <c r="C219" s="7" t="s">
        <v>29</v>
      </c>
      <c r="D219" s="7"/>
      <c r="E219" s="7"/>
      <c r="F219" s="3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21"/>
      <c r="W219" s="7"/>
      <c r="X219" s="7"/>
      <c r="Y219" s="7"/>
      <c r="Z219" s="7"/>
      <c r="AA219" s="7"/>
      <c r="AB219" s="7"/>
      <c r="AC219" s="7"/>
      <c r="AD219" s="7"/>
      <c r="AE219" s="7"/>
      <c r="AF219" s="7"/>
    </row>
    <row r="220" spans="1:32" outlineLevel="1">
      <c r="A220" s="37">
        <v>0.2</v>
      </c>
      <c r="B220" s="6">
        <f>(1+A220)*'Calc A'!$B$46</f>
        <v>-1464</v>
      </c>
      <c r="C220" s="6">
        <f t="shared" ref="C220:V220" si="86">IF($B$9&lt;C$41,"",B220*(1+$B$7))</f>
        <v>-1507.92</v>
      </c>
      <c r="D220" s="6">
        <f t="shared" si="86"/>
        <v>-1553.1576</v>
      </c>
      <c r="E220" s="6">
        <f t="shared" si="86"/>
        <v>-1599.752328</v>
      </c>
      <c r="F220" s="6">
        <f t="shared" si="86"/>
        <v>-1647.74489784</v>
      </c>
      <c r="G220" s="6">
        <f t="shared" si="86"/>
        <v>-1697.1772447752001</v>
      </c>
      <c r="H220" s="6">
        <f t="shared" si="86"/>
        <v>-1748.092562118456</v>
      </c>
      <c r="I220" s="6">
        <f t="shared" si="86"/>
        <v>-1800.5353389820098</v>
      </c>
      <c r="J220" s="6">
        <f t="shared" si="86"/>
        <v>-1854.5513991514702</v>
      </c>
      <c r="K220" s="6">
        <f t="shared" si="86"/>
        <v>-1910.1879411260143</v>
      </c>
      <c r="L220" s="6">
        <f t="shared" si="86"/>
        <v>-1967.4935793597947</v>
      </c>
      <c r="M220" s="6">
        <f t="shared" si="86"/>
        <v>-2026.5183867405885</v>
      </c>
      <c r="N220" s="6">
        <f t="shared" si="86"/>
        <v>-2087.3139383428061</v>
      </c>
      <c r="O220" s="6">
        <f t="shared" si="86"/>
        <v>-2149.9333564930903</v>
      </c>
      <c r="P220" s="6">
        <f t="shared" si="86"/>
        <v>-2214.4313571878829</v>
      </c>
      <c r="Q220" s="6">
        <f t="shared" si="86"/>
        <v>-2280.8642979035194</v>
      </c>
      <c r="R220" s="6">
        <f t="shared" si="86"/>
        <v>-2349.2902268406251</v>
      </c>
      <c r="S220" s="6">
        <f t="shared" si="86"/>
        <v>-2419.7689336458438</v>
      </c>
      <c r="T220" s="6">
        <f t="shared" si="86"/>
        <v>-2492.362001655219</v>
      </c>
      <c r="U220" s="6">
        <f t="shared" si="86"/>
        <v>-2567.1328617048757</v>
      </c>
      <c r="V220" s="6">
        <f t="shared" si="86"/>
        <v>-2644.1468475560218</v>
      </c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outlineLevel="1">
      <c r="A221" s="19"/>
      <c r="B221" s="7"/>
      <c r="C221" s="7" t="s">
        <v>28</v>
      </c>
      <c r="D221" s="7"/>
      <c r="E221" s="7"/>
      <c r="F221" s="7"/>
      <c r="G221" s="7"/>
      <c r="H221" s="39"/>
      <c r="I221" s="39"/>
      <c r="J221" s="39"/>
      <c r="K221" s="39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21"/>
      <c r="W221" s="7"/>
      <c r="X221" s="7"/>
      <c r="Y221" s="7"/>
      <c r="Z221" s="7"/>
      <c r="AA221" s="7"/>
      <c r="AB221" s="7"/>
      <c r="AC221" s="7"/>
      <c r="AD221" s="7"/>
      <c r="AE221" s="7"/>
      <c r="AF221" s="7"/>
    </row>
    <row r="222" spans="1:32" outlineLevel="1">
      <c r="A222" s="19"/>
      <c r="B222" s="7">
        <f>B190</f>
        <v>61000</v>
      </c>
      <c r="C222" s="40">
        <f>'Calc A'!C$69-'Calc A'!C$46+C220</f>
        <v>-1962.1866666666665</v>
      </c>
      <c r="D222" s="40">
        <f>'Calc A'!D$69-'Calc A'!D$46+D220</f>
        <v>-1878.4951360000002</v>
      </c>
      <c r="E222" s="40">
        <f>'Calc A'!E$69-'Calc A'!E$46+E220</f>
        <v>-1784.1978747558392</v>
      </c>
      <c r="F222" s="40">
        <f>'Calc A'!F$69-'Calc A'!F$46+F220</f>
        <v>-1648.0528947356788</v>
      </c>
      <c r="G222" s="40">
        <f>'Calc A'!G$69-'Calc A'!G$46+G220</f>
        <v>-1440.0571503717738</v>
      </c>
      <c r="H222" s="40">
        <f>'Calc A'!H$69-'Calc A'!H$46+H220</f>
        <v>-1222.7236064720573</v>
      </c>
      <c r="I222" s="40">
        <f>'Calc A'!I$69-'Calc A'!I$46+I220</f>
        <v>-995.57177881814437</v>
      </c>
      <c r="J222" s="40">
        <f>'Calc A'!J$69-'Calc A'!J$46+J220</f>
        <v>-758.09418806675149</v>
      </c>
      <c r="K222" s="40">
        <f>'Calc A'!K$69-'Calc A'!K$46+K220</f>
        <v>-509.75476990384891</v>
      </c>
      <c r="L222" s="40">
        <f>'Calc A'!L$69-'Calc A'!L$46+L220</f>
        <v>-276.38064160774979</v>
      </c>
      <c r="M222" s="40">
        <f>'Calc A'!M$69-'Calc A'!M$46+M220</f>
        <v>-64.029997372060734</v>
      </c>
      <c r="N222" s="40">
        <f>'Calc A'!N$69-'Calc A'!N$46+N220</f>
        <v>158.25017673603452</v>
      </c>
      <c r="O222" s="40">
        <f>'Calc A'!O$69-'Calc A'!O$46+O220</f>
        <v>390.98571391841597</v>
      </c>
      <c r="P222" s="40">
        <f>'Calc A'!P$69-'Calc A'!P$46+P220</f>
        <v>634.73247696171848</v>
      </c>
      <c r="Q222" s="40">
        <f>'Calc A'!Q$69-'Calc A'!Q$46+Q220</f>
        <v>890.07814129515327</v>
      </c>
      <c r="R222" s="40">
        <f>'Calc A'!R$69-'Calc A'!R$46+R220</f>
        <v>1157.644085881534</v>
      </c>
      <c r="S222" s="40">
        <f>'Calc A'!S$69-'Calc A'!S$46+S220</f>
        <v>1438.087398516926</v>
      </c>
      <c r="T222" s="40">
        <f>'Calc A'!T$69-'Calc A'!T$46+T220</f>
        <v>1732.1030025167352</v>
      </c>
      <c r="U222" s="40">
        <f>'Calc A'!U$69-'Calc A'!U$46+U220</f>
        <v>2040.4259121930736</v>
      </c>
      <c r="V222" s="40">
        <f>'Calc A'!V$69-'Calc A'!V$46+V220</f>
        <v>2353.4540217173958</v>
      </c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</row>
    <row r="223" spans="1:32" outlineLevel="1">
      <c r="A223" s="19"/>
      <c r="B223" s="7" t="s">
        <v>27</v>
      </c>
      <c r="C223" s="40">
        <f>C222</f>
        <v>-1962.1866666666665</v>
      </c>
      <c r="D223" s="40">
        <f t="shared" ref="D223:V223" si="87">C223+D222</f>
        <v>-3840.681802666667</v>
      </c>
      <c r="E223" s="40">
        <f t="shared" si="87"/>
        <v>-5624.8796774225066</v>
      </c>
      <c r="F223" s="40">
        <f t="shared" si="87"/>
        <v>-7272.9325721581854</v>
      </c>
      <c r="G223" s="40">
        <f t="shared" si="87"/>
        <v>-8712.9897225299592</v>
      </c>
      <c r="H223" s="40">
        <f t="shared" si="87"/>
        <v>-9935.7133290020174</v>
      </c>
      <c r="I223" s="40">
        <f t="shared" si="87"/>
        <v>-10931.285107820162</v>
      </c>
      <c r="J223" s="40">
        <f t="shared" si="87"/>
        <v>-11689.379295886913</v>
      </c>
      <c r="K223" s="40">
        <f>J223+K222</f>
        <v>-12199.134065790762</v>
      </c>
      <c r="L223" s="40">
        <f t="shared" si="87"/>
        <v>-12475.514707398512</v>
      </c>
      <c r="M223" s="40">
        <f t="shared" si="87"/>
        <v>-12539.544704770573</v>
      </c>
      <c r="N223" s="40">
        <f t="shared" si="87"/>
        <v>-12381.294528034538</v>
      </c>
      <c r="O223" s="40">
        <f t="shared" si="87"/>
        <v>-11990.308814116121</v>
      </c>
      <c r="P223" s="40">
        <f t="shared" si="87"/>
        <v>-11355.576337154402</v>
      </c>
      <c r="Q223" s="40">
        <f t="shared" si="87"/>
        <v>-10465.498195859249</v>
      </c>
      <c r="R223" s="40">
        <f t="shared" si="87"/>
        <v>-9307.854109977714</v>
      </c>
      <c r="S223" s="40">
        <f t="shared" si="87"/>
        <v>-7869.7667114607884</v>
      </c>
      <c r="T223" s="40">
        <f t="shared" si="87"/>
        <v>-6137.6637089440537</v>
      </c>
      <c r="U223" s="40">
        <f t="shared" si="87"/>
        <v>-4097.2377967509801</v>
      </c>
      <c r="V223" s="41">
        <f t="shared" si="87"/>
        <v>-1743.7837750335843</v>
      </c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</row>
    <row r="224" spans="1:32" outlineLevel="1">
      <c r="A224" s="19"/>
      <c r="B224" s="42">
        <v>0.2</v>
      </c>
      <c r="C224" s="43" t="e">
        <f ca="1">MATCH(B222,C223:V223)&amp;" Years "&amp;ROUND(((B222-SUM(OFFSET(B222,0,1,1,MATCH(B222,C223:V223))))/OFFSET(B222,0,MATCH(B222,C223:V223)+1))*12,0)&amp;" Months"</f>
        <v>#DIV/0!</v>
      </c>
      <c r="D224" s="51" t="e">
        <f ca="1">(MATCH(B222,C223:V223))+(ROUND(((B222-SUM(OFFSET(B222,0,1,1,MATCH(B222,C223:V223))))/OFFSET(B222,0,MATCH(B222,C223:V223)+1))*12,0)/10)*10/12</f>
        <v>#DIV/0!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21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 spans="1:32" outlineLevel="1">
      <c r="A225" s="19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21"/>
      <c r="W225" s="7"/>
      <c r="X225" s="7"/>
      <c r="Y225" s="7"/>
      <c r="Z225" s="7"/>
      <c r="AA225" s="7"/>
      <c r="AB225" s="7"/>
      <c r="AC225" s="7"/>
      <c r="AD225" s="7"/>
      <c r="AE225" s="7"/>
      <c r="AF225" s="7"/>
    </row>
    <row r="226" spans="1:32" outlineLevel="1">
      <c r="A226" s="19"/>
      <c r="B226" s="7"/>
      <c r="C226" s="7" t="s">
        <v>29</v>
      </c>
      <c r="D226" s="7"/>
      <c r="E226" s="7"/>
      <c r="F226" s="3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21"/>
      <c r="W226" s="7"/>
      <c r="X226" s="7"/>
      <c r="Y226" s="7"/>
      <c r="Z226" s="7"/>
      <c r="AA226" s="7"/>
      <c r="AB226" s="7"/>
      <c r="AC226" s="7"/>
      <c r="AD226" s="7"/>
      <c r="AE226" s="7"/>
      <c r="AF226" s="7"/>
    </row>
    <row r="227" spans="1:32" outlineLevel="1">
      <c r="A227" s="37">
        <v>0.3</v>
      </c>
      <c r="B227" s="6">
        <f>(1+A227)*'Calc A'!$B$46</f>
        <v>-1586</v>
      </c>
      <c r="C227" s="6">
        <f t="shared" ref="C227:V227" si="88">IF($B$9&lt;C$41,"",B227*(1+$B$7))</f>
        <v>-1633.5800000000002</v>
      </c>
      <c r="D227" s="6">
        <f t="shared" si="88"/>
        <v>-1682.5874000000001</v>
      </c>
      <c r="E227" s="6">
        <f t="shared" si="88"/>
        <v>-1733.0650220000002</v>
      </c>
      <c r="F227" s="6">
        <f t="shared" si="88"/>
        <v>-1785.0569726600004</v>
      </c>
      <c r="G227" s="6">
        <f t="shared" si="88"/>
        <v>-1838.6086818398005</v>
      </c>
      <c r="H227" s="6">
        <f t="shared" si="88"/>
        <v>-1893.7669422949946</v>
      </c>
      <c r="I227" s="6">
        <f t="shared" si="88"/>
        <v>-1950.5799505638445</v>
      </c>
      <c r="J227" s="6">
        <f t="shared" si="88"/>
        <v>-2009.0973490807598</v>
      </c>
      <c r="K227" s="6">
        <f t="shared" si="88"/>
        <v>-2069.3702695531829</v>
      </c>
      <c r="L227" s="6">
        <f t="shared" si="88"/>
        <v>-2131.4513776397785</v>
      </c>
      <c r="M227" s="6">
        <f t="shared" si="88"/>
        <v>-2195.394918968972</v>
      </c>
      <c r="N227" s="6">
        <f t="shared" si="88"/>
        <v>-2261.2567665380411</v>
      </c>
      <c r="O227" s="6">
        <f t="shared" si="88"/>
        <v>-2329.0944695341823</v>
      </c>
      <c r="P227" s="6">
        <f t="shared" si="88"/>
        <v>-2398.967303620208</v>
      </c>
      <c r="Q227" s="6">
        <f t="shared" si="88"/>
        <v>-2470.9363227288145</v>
      </c>
      <c r="R227" s="6">
        <f t="shared" si="88"/>
        <v>-2545.0644124106789</v>
      </c>
      <c r="S227" s="6">
        <f t="shared" si="88"/>
        <v>-2621.4163447829992</v>
      </c>
      <c r="T227" s="6">
        <f t="shared" si="88"/>
        <v>-2700.0588351264892</v>
      </c>
      <c r="U227" s="6">
        <f t="shared" si="88"/>
        <v>-2781.0606001802839</v>
      </c>
      <c r="V227" s="6">
        <f t="shared" si="88"/>
        <v>-2864.4924181856927</v>
      </c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outlineLevel="1">
      <c r="A228" s="19"/>
      <c r="B228" s="7"/>
      <c r="C228" s="7" t="s">
        <v>28</v>
      </c>
      <c r="D228" s="7"/>
      <c r="E228" s="7"/>
      <c r="F228" s="7"/>
      <c r="G228" s="7"/>
      <c r="H228" s="39"/>
      <c r="I228" s="39"/>
      <c r="J228" s="39"/>
      <c r="K228" s="39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21"/>
      <c r="W228" s="7"/>
      <c r="X228" s="7"/>
      <c r="Y228" s="7"/>
      <c r="Z228" s="7"/>
      <c r="AA228" s="7"/>
      <c r="AB228" s="7"/>
      <c r="AC228" s="7"/>
      <c r="AD228" s="7"/>
      <c r="AE228" s="7"/>
      <c r="AF228" s="7"/>
    </row>
    <row r="229" spans="1:32" outlineLevel="1">
      <c r="A229" s="19"/>
      <c r="B229" s="7">
        <f>B190</f>
        <v>61000</v>
      </c>
      <c r="C229" s="40">
        <f>'Calc A'!C$69-'Calc A'!C$46+C227</f>
        <v>-2087.8466666666664</v>
      </c>
      <c r="D229" s="40">
        <f>'Calc A'!D$69-'Calc A'!D$46+D227</f>
        <v>-2007.9249360000003</v>
      </c>
      <c r="E229" s="40">
        <f>'Calc A'!E$69-'Calc A'!E$46+E227</f>
        <v>-1917.5105687558394</v>
      </c>
      <c r="F229" s="40">
        <f>'Calc A'!F$69-'Calc A'!F$46+F227</f>
        <v>-1785.3649695556792</v>
      </c>
      <c r="G229" s="40">
        <f>'Calc A'!G$69-'Calc A'!G$46+G227</f>
        <v>-1581.4885874363742</v>
      </c>
      <c r="H229" s="40">
        <f>'Calc A'!H$69-'Calc A'!H$46+H227</f>
        <v>-1368.3979866485959</v>
      </c>
      <c r="I229" s="40">
        <f>'Calc A'!I$69-'Calc A'!I$46+I227</f>
        <v>-1145.6163903999791</v>
      </c>
      <c r="J229" s="40">
        <f>'Calc A'!J$69-'Calc A'!J$46+J227</f>
        <v>-912.64013799604118</v>
      </c>
      <c r="K229" s="40">
        <f>'Calc A'!K$69-'Calc A'!K$46+K227</f>
        <v>-668.93709833101752</v>
      </c>
      <c r="L229" s="40">
        <f>'Calc A'!L$69-'Calc A'!L$46+L227</f>
        <v>-440.33843988773356</v>
      </c>
      <c r="M229" s="40">
        <f>'Calc A'!M$69-'Calc A'!M$46+M227</f>
        <v>-232.90652960044417</v>
      </c>
      <c r="N229" s="40">
        <f>'Calc A'!N$69-'Calc A'!N$46+N227</f>
        <v>-15.692651459200533</v>
      </c>
      <c r="O229" s="40">
        <f>'Calc A'!O$69-'Calc A'!O$46+O227</f>
        <v>211.82460087732397</v>
      </c>
      <c r="P229" s="40">
        <f>'Calc A'!P$69-'Calc A'!P$46+P227</f>
        <v>450.19653052939339</v>
      </c>
      <c r="Q229" s="40">
        <f>'Calc A'!Q$69-'Calc A'!Q$46+Q227</f>
        <v>700.00611646985817</v>
      </c>
      <c r="R229" s="40">
        <f>'Calc A'!R$69-'Calc A'!R$46+R227</f>
        <v>961.86990031148025</v>
      </c>
      <c r="S229" s="40">
        <f>'Calc A'!S$69-'Calc A'!S$46+S227</f>
        <v>1236.4399873797706</v>
      </c>
      <c r="T229" s="40">
        <f>'Calc A'!T$69-'Calc A'!T$46+T227</f>
        <v>1524.406169045465</v>
      </c>
      <c r="U229" s="40">
        <f>'Calc A'!U$69-'Calc A'!U$46+U227</f>
        <v>1826.4981737176654</v>
      </c>
      <c r="V229" s="40">
        <f>'Calc A'!V$69-'Calc A'!V$46+V227</f>
        <v>2133.1084510877249</v>
      </c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</row>
    <row r="230" spans="1:32" outlineLevel="1">
      <c r="A230" s="19"/>
      <c r="B230" s="7" t="s">
        <v>27</v>
      </c>
      <c r="C230" s="40">
        <f>C229</f>
        <v>-2087.8466666666664</v>
      </c>
      <c r="D230" s="40">
        <f t="shared" ref="D230:V230" si="89">C230+D229</f>
        <v>-4095.7716026666667</v>
      </c>
      <c r="E230" s="40">
        <f t="shared" si="89"/>
        <v>-6013.2821714225065</v>
      </c>
      <c r="F230" s="40">
        <f t="shared" si="89"/>
        <v>-7798.6471409781861</v>
      </c>
      <c r="G230" s="40">
        <f t="shared" si="89"/>
        <v>-9380.1357284145597</v>
      </c>
      <c r="H230" s="40">
        <f t="shared" si="89"/>
        <v>-10748.533715063155</v>
      </c>
      <c r="I230" s="40">
        <f t="shared" si="89"/>
        <v>-11894.150105463134</v>
      </c>
      <c r="J230" s="40">
        <f t="shared" si="89"/>
        <v>-12806.790243459174</v>
      </c>
      <c r="K230" s="40">
        <f>J230+K229</f>
        <v>-13475.727341790192</v>
      </c>
      <c r="L230" s="40">
        <f t="shared" si="89"/>
        <v>-13916.065781677926</v>
      </c>
      <c r="M230" s="40">
        <f t="shared" si="89"/>
        <v>-14148.97231127837</v>
      </c>
      <c r="N230" s="40">
        <f t="shared" si="89"/>
        <v>-14164.66496273757</v>
      </c>
      <c r="O230" s="40">
        <f t="shared" si="89"/>
        <v>-13952.840361860246</v>
      </c>
      <c r="P230" s="40">
        <f t="shared" si="89"/>
        <v>-13502.643831330854</v>
      </c>
      <c r="Q230" s="40">
        <f t="shared" si="89"/>
        <v>-12802.637714860995</v>
      </c>
      <c r="R230" s="40">
        <f t="shared" si="89"/>
        <v>-11840.767814549516</v>
      </c>
      <c r="S230" s="40">
        <f t="shared" si="89"/>
        <v>-10604.327827169745</v>
      </c>
      <c r="T230" s="40">
        <f t="shared" si="89"/>
        <v>-9079.9216581242799</v>
      </c>
      <c r="U230" s="40">
        <f t="shared" si="89"/>
        <v>-7253.4234844066141</v>
      </c>
      <c r="V230" s="41">
        <f t="shared" si="89"/>
        <v>-5120.3150333188896</v>
      </c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</row>
    <row r="231" spans="1:32" outlineLevel="1">
      <c r="A231" s="7"/>
      <c r="B231" s="42">
        <v>0.3</v>
      </c>
      <c r="C231" s="43" t="e">
        <f ca="1">MATCH(B229,C230:V230)&amp;" Years "&amp;ROUND(((B229-SUM(OFFSET(B229,0,1,1,MATCH(B229,C230:V230))))/OFFSET(B229,0,MATCH(B229,C230:V230)+1))*12,0)&amp;" Months"</f>
        <v>#DIV/0!</v>
      </c>
      <c r="D231" s="49" t="e">
        <f ca="1">(MATCH(B229,C230:V230))+(ROUND(((B229-SUM(OFFSET(B229,0,1,1,MATCH(B229,C230:V230))))/OFFSET(B229,0,MATCH(B229,C230:V230)+1))*12,0)/10)*10/12</f>
        <v>#DIV/0!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21"/>
      <c r="W231" s="7"/>
      <c r="X231" s="7"/>
      <c r="Y231" s="7"/>
      <c r="Z231" s="7"/>
      <c r="AA231" s="7"/>
      <c r="AB231" s="7"/>
      <c r="AC231" s="7"/>
      <c r="AD231" s="7"/>
      <c r="AE231" s="7"/>
      <c r="AF231" s="7"/>
    </row>
    <row r="232" spans="1:32" outlineLevel="1">
      <c r="A232" s="47" t="s">
        <v>32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21"/>
      <c r="W232" s="7"/>
      <c r="X232" s="7"/>
      <c r="Y232" s="7"/>
      <c r="Z232" s="7"/>
      <c r="AA232" s="7"/>
      <c r="AB232" s="7"/>
      <c r="AC232" s="7"/>
      <c r="AD232" s="7"/>
      <c r="AE232" s="7"/>
      <c r="AF232" s="7"/>
    </row>
    <row r="233" spans="1:32" outlineLevel="1">
      <c r="A233" s="7"/>
      <c r="B233" s="34">
        <v>-0.3</v>
      </c>
      <c r="C233" s="34">
        <v>-0.2</v>
      </c>
      <c r="D233" s="34">
        <v>-0.1</v>
      </c>
      <c r="E233" s="34">
        <v>0</v>
      </c>
      <c r="F233" s="34">
        <v>0.1</v>
      </c>
      <c r="G233" s="34">
        <v>0.2</v>
      </c>
      <c r="H233" s="34">
        <v>0.3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21"/>
      <c r="W233" s="7"/>
      <c r="X233" s="7"/>
      <c r="Y233" s="7"/>
      <c r="Z233" s="7"/>
      <c r="AA233" s="7"/>
      <c r="AB233" s="7"/>
      <c r="AC233" s="7"/>
      <c r="AD233" s="7"/>
      <c r="AE233" s="7"/>
      <c r="AF233" s="7"/>
    </row>
    <row r="234" spans="1:32" outlineLevel="1">
      <c r="A234" s="22"/>
      <c r="B234" s="48" t="e">
        <f ca="1">D192</f>
        <v>#DIV/0!</v>
      </c>
      <c r="C234" s="48" t="e">
        <f ca="1">D199</f>
        <v>#DIV/0!</v>
      </c>
      <c r="D234" s="48" t="e">
        <f ca="1">D206</f>
        <v>#DIV/0!</v>
      </c>
      <c r="E234" s="48" t="e">
        <f ca="1">D210</f>
        <v>#DIV/0!</v>
      </c>
      <c r="F234" s="48" t="e">
        <f ca="1">D217</f>
        <v>#DIV/0!</v>
      </c>
      <c r="G234" s="48" t="e">
        <f ca="1">D224</f>
        <v>#DIV/0!</v>
      </c>
      <c r="H234" s="48" t="e">
        <f ca="1">D231</f>
        <v>#DIV/0!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3"/>
      <c r="W234" s="7"/>
      <c r="X234" s="7"/>
      <c r="Y234" s="7"/>
      <c r="Z234" s="7"/>
      <c r="AA234" s="7"/>
      <c r="AB234" s="7"/>
      <c r="AC234" s="7"/>
      <c r="AD234" s="7"/>
      <c r="AE234" s="7"/>
      <c r="AF234" s="7"/>
    </row>
    <row r="235" spans="1:32" outlineLevel="1"/>
    <row r="236" spans="1:32" outlineLevel="1">
      <c r="A236" s="26" t="s">
        <v>232</v>
      </c>
    </row>
    <row r="237" spans="1:32" outlineLevel="1">
      <c r="B237" s="3">
        <f>C237-1</f>
        <v>2014</v>
      </c>
      <c r="C237" s="3">
        <f t="shared" ref="C237:V237" si="90">C42</f>
        <v>2015</v>
      </c>
      <c r="D237" s="3">
        <f t="shared" si="90"/>
        <v>2016</v>
      </c>
      <c r="E237" s="3">
        <f t="shared" si="90"/>
        <v>2017</v>
      </c>
      <c r="F237" s="3">
        <f t="shared" si="90"/>
        <v>2018</v>
      </c>
      <c r="G237" s="3">
        <f t="shared" si="90"/>
        <v>2019</v>
      </c>
      <c r="H237" s="3">
        <f t="shared" si="90"/>
        <v>2020</v>
      </c>
      <c r="I237" s="3">
        <f t="shared" si="90"/>
        <v>2021</v>
      </c>
      <c r="J237" s="3">
        <f t="shared" si="90"/>
        <v>2022</v>
      </c>
      <c r="K237" s="3">
        <f t="shared" si="90"/>
        <v>2023</v>
      </c>
      <c r="L237" s="3">
        <f t="shared" si="90"/>
        <v>2024</v>
      </c>
      <c r="M237" s="3">
        <f t="shared" si="90"/>
        <v>2025</v>
      </c>
      <c r="N237" s="3">
        <f t="shared" si="90"/>
        <v>2026</v>
      </c>
      <c r="O237" s="3">
        <f t="shared" si="90"/>
        <v>2027</v>
      </c>
      <c r="P237" s="3">
        <f t="shared" si="90"/>
        <v>2028</v>
      </c>
      <c r="Q237" s="3">
        <f t="shared" si="90"/>
        <v>2029</v>
      </c>
      <c r="R237" s="3">
        <f t="shared" si="90"/>
        <v>2030</v>
      </c>
      <c r="S237" s="3">
        <f t="shared" si="90"/>
        <v>2031</v>
      </c>
      <c r="T237" s="3">
        <f t="shared" si="90"/>
        <v>2032</v>
      </c>
      <c r="U237" s="3">
        <f t="shared" si="90"/>
        <v>2033</v>
      </c>
      <c r="V237" s="3">
        <f t="shared" si="90"/>
        <v>2034</v>
      </c>
    </row>
    <row r="238" spans="1:32" outlineLevel="1">
      <c r="A238" s="3" t="str">
        <f>languages!A68</f>
        <v>Utilidad Anual Escenario Base</v>
      </c>
      <c r="B238" s="13">
        <f>'Calc A'!B21</f>
        <v>-61000</v>
      </c>
      <c r="C238" s="13">
        <f>'Calc A'!C69</f>
        <v>-1674.2666666666664</v>
      </c>
      <c r="D238" s="13">
        <f>'Calc A'!D69</f>
        <v>-1581.9375360000004</v>
      </c>
      <c r="E238" s="13">
        <f>'Calc A'!E69</f>
        <v>-1478.7435467558394</v>
      </c>
      <c r="F238" s="13">
        <f>'Calc A'!F69</f>
        <v>-1333.4349368956791</v>
      </c>
      <c r="G238" s="13">
        <f>'Calc A'!G69</f>
        <v>-1116.0006537965742</v>
      </c>
      <c r="H238" s="13">
        <f>'Calc A'!H69</f>
        <v>-888.94541499960178</v>
      </c>
      <c r="I238" s="13">
        <f>'Calc A'!I69</f>
        <v>-651.78024160151517</v>
      </c>
      <c r="J238" s="13">
        <f>'Calc A'!J69</f>
        <v>-403.98890473362326</v>
      </c>
      <c r="K238" s="13">
        <f>'Calc A'!K69</f>
        <v>-145.02632807072678</v>
      </c>
      <c r="L238" s="13">
        <f>'Calc A'!L69</f>
        <v>99.289653480366098</v>
      </c>
      <c r="M238" s="13">
        <f>'Calc A'!M69</f>
        <v>322.91040656869848</v>
      </c>
      <c r="N238" s="13">
        <f>'Calc A'!N69</f>
        <v>556.79879279501654</v>
      </c>
      <c r="O238" s="13">
        <f>'Calc A'!O69</f>
        <v>801.49078845916722</v>
      </c>
      <c r="P238" s="13">
        <f>'Calc A'!P69</f>
        <v>1057.5527037386923</v>
      </c>
      <c r="Q238" s="13">
        <f>'Calc A'!Q69</f>
        <v>1325.5829748754363</v>
      </c>
      <c r="R238" s="13">
        <f>'Calc A'!R69</f>
        <v>1606.2140644692254</v>
      </c>
      <c r="S238" s="13">
        <f>'Calc A'!S69</f>
        <v>1900.1144764622481</v>
      </c>
      <c r="T238" s="13">
        <f>'Calc A'!T69</f>
        <v>2207.990892800417</v>
      </c>
      <c r="U238" s="13">
        <f>'Calc A'!U69</f>
        <v>2530.5904391852655</v>
      </c>
      <c r="V238" s="13">
        <f>'Calc A'!V69</f>
        <v>2858.3234845193529</v>
      </c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:32" outlineLevel="1">
      <c r="A239" s="3" t="str">
        <f>languages!A69</f>
        <v>Utilidad Anual Escenario Sensibilidad</v>
      </c>
      <c r="B239" s="13">
        <f t="shared" ref="B239:V239" si="91">B70</f>
        <v>-61000</v>
      </c>
      <c r="C239" s="13">
        <f t="shared" si="91"/>
        <v>-1674.2666666666664</v>
      </c>
      <c r="D239" s="13">
        <f t="shared" si="91"/>
        <v>-1581.9375360000004</v>
      </c>
      <c r="E239" s="13">
        <f t="shared" si="91"/>
        <v>-1478.7435467558394</v>
      </c>
      <c r="F239" s="13">
        <f t="shared" si="91"/>
        <v>-1333.4349368956791</v>
      </c>
      <c r="G239" s="13">
        <f t="shared" si="91"/>
        <v>-1116.0006537965742</v>
      </c>
      <c r="H239" s="13">
        <f t="shared" si="91"/>
        <v>-888.94541499960178</v>
      </c>
      <c r="I239" s="13">
        <f t="shared" si="91"/>
        <v>-651.78024160151517</v>
      </c>
      <c r="J239" s="13">
        <f t="shared" si="91"/>
        <v>-403.98890473362326</v>
      </c>
      <c r="K239" s="13">
        <f t="shared" si="91"/>
        <v>-145.02632807072678</v>
      </c>
      <c r="L239" s="13">
        <f t="shared" si="91"/>
        <v>99.289653480366098</v>
      </c>
      <c r="M239" s="13">
        <f t="shared" si="91"/>
        <v>322.91040656869848</v>
      </c>
      <c r="N239" s="13">
        <f t="shared" si="91"/>
        <v>556.79879279501654</v>
      </c>
      <c r="O239" s="13">
        <f t="shared" si="91"/>
        <v>801.49078845916722</v>
      </c>
      <c r="P239" s="13">
        <f t="shared" si="91"/>
        <v>1057.5527037386923</v>
      </c>
      <c r="Q239" s="13">
        <f t="shared" si="91"/>
        <v>1325.5829748754363</v>
      </c>
      <c r="R239" s="13">
        <f t="shared" si="91"/>
        <v>1606.2140644692254</v>
      </c>
      <c r="S239" s="13">
        <f t="shared" si="91"/>
        <v>1900.1144764622481</v>
      </c>
      <c r="T239" s="13">
        <f t="shared" si="91"/>
        <v>2207.990892800417</v>
      </c>
      <c r="U239" s="13">
        <f t="shared" si="91"/>
        <v>2530.5904391852655</v>
      </c>
      <c r="V239" s="13">
        <f t="shared" si="91"/>
        <v>2858.3234845193529</v>
      </c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:32" outlineLevel="1">
      <c r="B240" s="3">
        <f t="shared" ref="B240:M240" si="92">B237</f>
        <v>2014</v>
      </c>
      <c r="C240" s="3">
        <f t="shared" si="92"/>
        <v>2015</v>
      </c>
      <c r="D240" s="3">
        <f t="shared" si="92"/>
        <v>2016</v>
      </c>
      <c r="E240" s="3">
        <f t="shared" si="92"/>
        <v>2017</v>
      </c>
      <c r="F240" s="3">
        <f t="shared" si="92"/>
        <v>2018</v>
      </c>
      <c r="G240" s="3">
        <f t="shared" si="92"/>
        <v>2019</v>
      </c>
      <c r="H240" s="3">
        <f t="shared" si="92"/>
        <v>2020</v>
      </c>
      <c r="I240" s="3">
        <f t="shared" si="92"/>
        <v>2021</v>
      </c>
      <c r="J240" s="3">
        <f t="shared" si="92"/>
        <v>2022</v>
      </c>
      <c r="K240" s="3">
        <f t="shared" si="92"/>
        <v>2023</v>
      </c>
      <c r="L240" s="3">
        <f t="shared" si="92"/>
        <v>2024</v>
      </c>
      <c r="M240" s="3">
        <f t="shared" si="92"/>
        <v>2025</v>
      </c>
      <c r="N240" s="3">
        <f>N237</f>
        <v>2026</v>
      </c>
      <c r="O240" s="3">
        <f t="shared" ref="O240:V240" si="93">O237</f>
        <v>2027</v>
      </c>
      <c r="P240" s="3">
        <f t="shared" si="93"/>
        <v>2028</v>
      </c>
      <c r="Q240" s="3">
        <f t="shared" si="93"/>
        <v>2029</v>
      </c>
      <c r="R240" s="3">
        <f t="shared" si="93"/>
        <v>2030</v>
      </c>
      <c r="S240" s="3">
        <f t="shared" si="93"/>
        <v>2031</v>
      </c>
      <c r="T240" s="3">
        <f t="shared" si="93"/>
        <v>2032</v>
      </c>
      <c r="U240" s="3">
        <f t="shared" si="93"/>
        <v>2033</v>
      </c>
      <c r="V240" s="3">
        <f t="shared" si="93"/>
        <v>2034</v>
      </c>
    </row>
    <row r="241" spans="1:32" outlineLevel="1">
      <c r="A241" s="3" t="str">
        <f>languages!A71</f>
        <v>Utilidad Acumulada Valores de Salida</v>
      </c>
      <c r="B241" s="13">
        <f>B238</f>
        <v>-61000</v>
      </c>
      <c r="C241" s="13">
        <f>'Calc A'!C69+B241</f>
        <v>-62674.266666666663</v>
      </c>
      <c r="D241" s="13">
        <f>'Calc A'!D69+C241</f>
        <v>-64256.20420266666</v>
      </c>
      <c r="E241" s="13">
        <f>'Calc A'!E69+D241</f>
        <v>-65734.947749422499</v>
      </c>
      <c r="F241" s="13">
        <f>'Calc A'!F69+E241</f>
        <v>-67068.382686318175</v>
      </c>
      <c r="G241" s="13">
        <f>'Calc A'!G69+F241</f>
        <v>-68184.383340114742</v>
      </c>
      <c r="H241" s="13">
        <f>'Calc A'!H69+G241</f>
        <v>-69073.328755114344</v>
      </c>
      <c r="I241" s="13">
        <f>'Calc A'!I69+H241</f>
        <v>-69725.108996715862</v>
      </c>
      <c r="J241" s="13">
        <f>'Calc A'!J69+I241</f>
        <v>-70129.097901449481</v>
      </c>
      <c r="K241" s="13">
        <f>'Calc A'!K69+J241</f>
        <v>-70274.12422952021</v>
      </c>
      <c r="L241" s="13">
        <f>'Calc A'!L69+K241</f>
        <v>-70174.834576039837</v>
      </c>
      <c r="M241" s="13">
        <f>'Calc A'!M69+L241</f>
        <v>-69851.924169471138</v>
      </c>
      <c r="N241" s="13">
        <f>'Calc A'!N69+M241</f>
        <v>-69295.125376676122</v>
      </c>
      <c r="O241" s="13">
        <f>'Calc A'!O69+N241</f>
        <v>-68493.634588216955</v>
      </c>
      <c r="P241" s="13">
        <f>'Calc A'!P69+O241</f>
        <v>-67436.081884478263</v>
      </c>
      <c r="Q241" s="13">
        <f>'Calc A'!Q69+P241</f>
        <v>-66110.498909602829</v>
      </c>
      <c r="R241" s="13">
        <f>'Calc A'!R69+Q241</f>
        <v>-64504.284845133603</v>
      </c>
      <c r="S241" s="13">
        <f>'Calc A'!S69+R241</f>
        <v>-62604.170368671352</v>
      </c>
      <c r="T241" s="13">
        <f>'Calc A'!T69+S241</f>
        <v>-60396.179475870937</v>
      </c>
      <c r="U241" s="13">
        <f>'Calc A'!U69+T241</f>
        <v>-57865.589036685669</v>
      </c>
      <c r="V241" s="13">
        <f>'Calc A'!V69+U241</f>
        <v>-55007.265552166318</v>
      </c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:32" outlineLevel="1">
      <c r="A242" s="3" t="str">
        <f>languages!A72</f>
        <v>Utilidad Acumulada Método Cálculo de Variantes</v>
      </c>
      <c r="B242" s="13">
        <f>B239</f>
        <v>-61000</v>
      </c>
      <c r="C242" s="13">
        <f>C69+B242</f>
        <v>-62674.266666666663</v>
      </c>
      <c r="D242" s="13">
        <f>C242+D69</f>
        <v>-64256.20420266666</v>
      </c>
      <c r="E242" s="13">
        <f t="shared" ref="E242:V242" si="94">D242+E69</f>
        <v>-65734.947749422499</v>
      </c>
      <c r="F242" s="13">
        <f t="shared" si="94"/>
        <v>-67068.382686318175</v>
      </c>
      <c r="G242" s="13">
        <f t="shared" si="94"/>
        <v>-68184.383340114742</v>
      </c>
      <c r="H242" s="13">
        <f t="shared" si="94"/>
        <v>-69073.328755114344</v>
      </c>
      <c r="I242" s="13">
        <f t="shared" si="94"/>
        <v>-69725.108996715862</v>
      </c>
      <c r="J242" s="13">
        <f t="shared" si="94"/>
        <v>-70129.097901449481</v>
      </c>
      <c r="K242" s="13">
        <f t="shared" si="94"/>
        <v>-70274.12422952021</v>
      </c>
      <c r="L242" s="13">
        <f t="shared" si="94"/>
        <v>-70174.834576039837</v>
      </c>
      <c r="M242" s="13">
        <f t="shared" si="94"/>
        <v>-69851.924169471138</v>
      </c>
      <c r="N242" s="13">
        <f t="shared" si="94"/>
        <v>-69295.125376676122</v>
      </c>
      <c r="O242" s="13">
        <f t="shared" si="94"/>
        <v>-68493.634588216955</v>
      </c>
      <c r="P242" s="13">
        <f t="shared" si="94"/>
        <v>-67436.081884478263</v>
      </c>
      <c r="Q242" s="13">
        <f t="shared" si="94"/>
        <v>-66110.498909602829</v>
      </c>
      <c r="R242" s="13">
        <f t="shared" si="94"/>
        <v>-64504.284845133603</v>
      </c>
      <c r="S242" s="13">
        <f t="shared" si="94"/>
        <v>-62604.170368671352</v>
      </c>
      <c r="T242" s="13">
        <f t="shared" si="94"/>
        <v>-60396.179475870937</v>
      </c>
      <c r="U242" s="13">
        <f t="shared" si="94"/>
        <v>-57865.589036685669</v>
      </c>
      <c r="V242" s="13">
        <f t="shared" si="94"/>
        <v>-55007.265552166318</v>
      </c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:32" outlineLevel="1">
      <c r="B243" s="3">
        <f>B240</f>
        <v>2014</v>
      </c>
      <c r="C243" s="3">
        <f t="shared" ref="C243:V243" si="95">C240</f>
        <v>2015</v>
      </c>
      <c r="D243" s="3">
        <f t="shared" si="95"/>
        <v>2016</v>
      </c>
      <c r="E243" s="3">
        <f t="shared" si="95"/>
        <v>2017</v>
      </c>
      <c r="F243" s="3">
        <f t="shared" si="95"/>
        <v>2018</v>
      </c>
      <c r="G243" s="3">
        <f t="shared" si="95"/>
        <v>2019</v>
      </c>
      <c r="H243" s="3">
        <f t="shared" si="95"/>
        <v>2020</v>
      </c>
      <c r="I243" s="3">
        <f t="shared" si="95"/>
        <v>2021</v>
      </c>
      <c r="J243" s="3">
        <f t="shared" si="95"/>
        <v>2022</v>
      </c>
      <c r="K243" s="3">
        <f t="shared" si="95"/>
        <v>2023</v>
      </c>
      <c r="L243" s="3">
        <f t="shared" si="95"/>
        <v>2024</v>
      </c>
      <c r="M243" s="3">
        <f t="shared" si="95"/>
        <v>2025</v>
      </c>
      <c r="N243" s="3">
        <f t="shared" si="95"/>
        <v>2026</v>
      </c>
      <c r="O243" s="3">
        <f t="shared" si="95"/>
        <v>2027</v>
      </c>
      <c r="P243" s="3">
        <f t="shared" si="95"/>
        <v>2028</v>
      </c>
      <c r="Q243" s="3">
        <f t="shared" si="95"/>
        <v>2029</v>
      </c>
      <c r="R243" s="3">
        <f t="shared" si="95"/>
        <v>2030</v>
      </c>
      <c r="S243" s="3">
        <f t="shared" si="95"/>
        <v>2031</v>
      </c>
      <c r="T243" s="3">
        <f t="shared" si="95"/>
        <v>2032</v>
      </c>
      <c r="U243" s="3">
        <f t="shared" si="95"/>
        <v>2033</v>
      </c>
      <c r="V243" s="3">
        <f t="shared" si="95"/>
        <v>2034</v>
      </c>
    </row>
    <row r="244" spans="1:32" outlineLevel="1">
      <c r="A244" s="3" t="str">
        <f>languages!A74</f>
        <v>DSCR de Valores Iniciales</v>
      </c>
      <c r="C244" s="219">
        <f>'Calc A'!C87</f>
        <v>0.26224941778163396</v>
      </c>
      <c r="D244" s="219">
        <f>'Calc A'!D87</f>
        <v>0.29305412021857913</v>
      </c>
      <c r="E244" s="219">
        <f>'Calc A'!E87</f>
        <v>0.3282979690041532</v>
      </c>
      <c r="F244" s="219">
        <f>'Calc A'!F87</f>
        <v>0.23757724446887973</v>
      </c>
      <c r="G244" s="219">
        <f>'Calc A'!G87</f>
        <v>0.28425993810718564</v>
      </c>
      <c r="H244" s="219">
        <f>'Calc A'!H87</f>
        <v>0.33300823115764383</v>
      </c>
      <c r="I244" s="219">
        <f>'Calc A'!I87</f>
        <v>0.38392710638566968</v>
      </c>
      <c r="J244" s="219">
        <f>'Calc A'!J87</f>
        <v>0.43712739706824638</v>
      </c>
      <c r="K244" s="219">
        <f>'Calc A'!K87</f>
        <v>0.49272612997197252</v>
      </c>
      <c r="L244" s="219">
        <f>'Calc A'!L87</f>
        <v>0.54518026901173566</v>
      </c>
      <c r="M244" s="219">
        <f>'Calc A'!M87</f>
        <v>0.59319118504024315</v>
      </c>
      <c r="N244" s="219">
        <f>'Calc A'!N87</f>
        <v>0.6434065407980305</v>
      </c>
      <c r="O244" s="219">
        <f>'Calc A'!O87</f>
        <v>0.69594140929495807</v>
      </c>
      <c r="P244" s="219">
        <f>'Calc A'!P87</f>
        <v>0.75091737616207599</v>
      </c>
      <c r="Q244" s="219">
        <f>'Calc A'!Q87</f>
        <v>0.80846292443040324</v>
      </c>
      <c r="R244" s="219">
        <f>'Calc A'!R87</f>
        <v>0.86871384252007577</v>
      </c>
      <c r="S244" s="219">
        <f>'Calc A'!S87</f>
        <v>0.93181365685335016</v>
      </c>
      <c r="T244" s="219">
        <f>'Calc A'!T87</f>
        <v>0.99791409059140701</v>
      </c>
      <c r="U244" s="219">
        <f>'Calc A'!U87</f>
        <v>1.0671755500866247</v>
      </c>
      <c r="V244" s="219">
        <f>'Calc A'!V87</f>
        <v>1.7926006049854073</v>
      </c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</row>
    <row r="245" spans="1:32">
      <c r="A245" s="3" t="str">
        <f>languages!A75</f>
        <v>DSCR Método Cálculo de Sensibilidad</v>
      </c>
      <c r="C245" s="220">
        <f t="shared" ref="C245:V245" si="96">C87</f>
        <v>0.26224941778163396</v>
      </c>
      <c r="D245" s="220">
        <f t="shared" si="96"/>
        <v>0.29305412021857913</v>
      </c>
      <c r="E245" s="220">
        <f t="shared" si="96"/>
        <v>0.3282979690041532</v>
      </c>
      <c r="F245" s="220">
        <f t="shared" si="96"/>
        <v>0.23757724446887973</v>
      </c>
      <c r="G245" s="220">
        <f t="shared" si="96"/>
        <v>0.28425993810718564</v>
      </c>
      <c r="H245" s="220">
        <f t="shared" si="96"/>
        <v>0.33300823115764383</v>
      </c>
      <c r="I245" s="220">
        <f t="shared" si="96"/>
        <v>0.38392710638566968</v>
      </c>
      <c r="J245" s="220">
        <f t="shared" si="96"/>
        <v>0.43712739706824638</v>
      </c>
      <c r="K245" s="220">
        <f t="shared" si="96"/>
        <v>0.49272612997197252</v>
      </c>
      <c r="L245" s="220">
        <f t="shared" si="96"/>
        <v>0.54518026901173566</v>
      </c>
      <c r="M245" s="220">
        <f t="shared" si="96"/>
        <v>0.59319118504024315</v>
      </c>
      <c r="N245" s="220">
        <f t="shared" si="96"/>
        <v>0.6434065407980305</v>
      </c>
      <c r="O245" s="220">
        <f t="shared" si="96"/>
        <v>0.69594140929495807</v>
      </c>
      <c r="P245" s="220">
        <f t="shared" si="96"/>
        <v>0.75091737616207599</v>
      </c>
      <c r="Q245" s="220">
        <f t="shared" si="96"/>
        <v>0.80846292443040324</v>
      </c>
      <c r="R245" s="220">
        <f t="shared" si="96"/>
        <v>0.86871384252007577</v>
      </c>
      <c r="S245" s="220">
        <f t="shared" si="96"/>
        <v>0.93181365685335016</v>
      </c>
      <c r="T245" s="220">
        <f t="shared" si="96"/>
        <v>0.99791409059140701</v>
      </c>
      <c r="U245" s="220">
        <f t="shared" si="96"/>
        <v>1.0671755500866247</v>
      </c>
      <c r="V245" s="220">
        <f t="shared" si="96"/>
        <v>1.7926006049854073</v>
      </c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</row>
    <row r="246" spans="1:32">
      <c r="A246" s="3" t="str">
        <f>languages!A76</f>
        <v>Banda de Medición</v>
      </c>
      <c r="C246" s="3">
        <f>'Main Input-Output'!B36</f>
        <v>1.4</v>
      </c>
      <c r="D246" s="3">
        <f>C246</f>
        <v>1.4</v>
      </c>
      <c r="E246" s="3">
        <f t="shared" ref="E246:V246" si="97">D246</f>
        <v>1.4</v>
      </c>
      <c r="F246" s="3">
        <f t="shared" si="97"/>
        <v>1.4</v>
      </c>
      <c r="G246" s="3">
        <f t="shared" si="97"/>
        <v>1.4</v>
      </c>
      <c r="H246" s="3">
        <f t="shared" si="97"/>
        <v>1.4</v>
      </c>
      <c r="I246" s="3">
        <f t="shared" si="97"/>
        <v>1.4</v>
      </c>
      <c r="J246" s="3">
        <f t="shared" si="97"/>
        <v>1.4</v>
      </c>
      <c r="K246" s="3">
        <f t="shared" si="97"/>
        <v>1.4</v>
      </c>
      <c r="L246" s="3">
        <f t="shared" si="97"/>
        <v>1.4</v>
      </c>
      <c r="M246" s="3">
        <f t="shared" si="97"/>
        <v>1.4</v>
      </c>
      <c r="N246" s="3">
        <f t="shared" si="97"/>
        <v>1.4</v>
      </c>
      <c r="O246" s="3">
        <f t="shared" si="97"/>
        <v>1.4</v>
      </c>
      <c r="P246" s="3">
        <f t="shared" si="97"/>
        <v>1.4</v>
      </c>
      <c r="Q246" s="3">
        <f t="shared" si="97"/>
        <v>1.4</v>
      </c>
      <c r="R246" s="3">
        <f t="shared" si="97"/>
        <v>1.4</v>
      </c>
      <c r="S246" s="3">
        <f t="shared" si="97"/>
        <v>1.4</v>
      </c>
      <c r="T246" s="3">
        <f t="shared" si="97"/>
        <v>1.4</v>
      </c>
      <c r="U246" s="3">
        <f t="shared" si="97"/>
        <v>1.4</v>
      </c>
      <c r="V246" s="3">
        <f t="shared" si="97"/>
        <v>1.4</v>
      </c>
    </row>
    <row r="247" spans="1:32"/>
    <row r="248" spans="1:32">
      <c r="A248" s="177"/>
    </row>
    <row r="249" spans="1:32"/>
  </sheetData>
  <mergeCells count="1">
    <mergeCell ref="B2:E2"/>
  </mergeCells>
  <phoneticPr fontId="9" type="noConversion"/>
  <conditionalFormatting sqref="C55:AF57">
    <cfRule type="expression" dxfId="20" priority="3" stopIfTrue="1">
      <formula>$C$39&lt;&gt;""</formula>
    </cfRule>
  </conditionalFormatting>
  <pageMargins left="0.75" right="0.75" top="1" bottom="1" header="0.5" footer="0.5"/>
  <pageSetup paperSize="9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Results</vt:lpstr>
      <vt:lpstr>Main Input-Output</vt:lpstr>
      <vt:lpstr>Cost of operation staff</vt:lpstr>
      <vt:lpstr>PV</vt:lpstr>
      <vt:lpstr>Wind</vt:lpstr>
      <vt:lpstr>Cogen</vt:lpstr>
      <vt:lpstr>Efficiency</vt:lpstr>
      <vt:lpstr>Calc A</vt:lpstr>
      <vt:lpstr>Calc Sensitivity</vt:lpstr>
      <vt:lpstr>Input sensitivity</vt:lpstr>
      <vt:lpstr>Graphs sensitivity</vt:lpstr>
      <vt:lpstr>Credit</vt:lpstr>
      <vt:lpstr>Credit sensitivity</vt:lpstr>
      <vt:lpstr>languages</vt:lpstr>
      <vt:lpstr>'Graphs sensitivity'!Área_de_impresión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Bernhard</dc:creator>
  <cp:lastModifiedBy>Vero Munita</cp:lastModifiedBy>
  <cp:lastPrinted>2015-04-16T22:08:25Z</cp:lastPrinted>
  <dcterms:created xsi:type="dcterms:W3CDTF">2012-11-07T10:24:31Z</dcterms:created>
  <dcterms:modified xsi:type="dcterms:W3CDTF">2015-04-16T22:13:23Z</dcterms:modified>
</cp:coreProperties>
</file>